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ИРЕКЦИЯ  ФИН-СЧЕТОВОДНА\Budjet2026\TBO\za publikuwane\"/>
    </mc:Choice>
  </mc:AlternateContent>
  <bookViews>
    <workbookView xWindow="0" yWindow="0" windowWidth="24000" windowHeight="9735"/>
  </bookViews>
  <sheets>
    <sheet name="Лева" sheetId="1" r:id="rId1"/>
    <sheet name="Евро" sheetId="5" r:id="rId2"/>
  </sheets>
  <calcPr calcId="152511"/>
</workbook>
</file>

<file path=xl/calcChain.xml><?xml version="1.0" encoding="utf-8"?>
<calcChain xmlns="http://schemas.openxmlformats.org/spreadsheetml/2006/main">
  <c r="E32" i="1" l="1"/>
  <c r="E8" i="1"/>
  <c r="Q45" i="5" l="1"/>
  <c r="P45" i="5"/>
  <c r="O45" i="5"/>
  <c r="Q44" i="5"/>
  <c r="P44" i="5"/>
  <c r="O44" i="5"/>
  <c r="N44" i="5"/>
  <c r="M44" i="5"/>
  <c r="L44" i="5"/>
  <c r="I44" i="5"/>
  <c r="H44" i="5"/>
  <c r="G44" i="5"/>
  <c r="F44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Q41" i="5"/>
  <c r="P41" i="5"/>
  <c r="O41" i="5"/>
  <c r="N41" i="5"/>
  <c r="M41" i="5"/>
  <c r="L41" i="5"/>
  <c r="I41" i="5"/>
  <c r="H41" i="5"/>
  <c r="G41" i="5"/>
  <c r="F41" i="5"/>
  <c r="D41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E40" i="1" l="1"/>
  <c r="O43" i="1" l="1"/>
  <c r="P6" i="1"/>
  <c r="O6" i="1"/>
  <c r="M24" i="1"/>
  <c r="L24" i="1"/>
  <c r="M4" i="1"/>
  <c r="L4" i="1"/>
  <c r="Q37" i="1" l="1"/>
  <c r="Q38" i="1"/>
  <c r="Q29" i="1"/>
  <c r="Q30" i="1"/>
  <c r="Q31" i="1"/>
  <c r="Q32" i="1"/>
  <c r="Q33" i="1"/>
  <c r="Q34" i="1"/>
  <c r="Q35" i="1"/>
  <c r="Q28" i="1"/>
  <c r="Q27" i="1"/>
  <c r="Q25" i="1"/>
  <c r="Q24" i="1"/>
  <c r="Q23" i="1"/>
  <c r="Q22" i="1"/>
  <c r="Q40" i="1"/>
  <c r="Q41" i="1"/>
  <c r="Q42" i="1"/>
  <c r="Q43" i="1"/>
  <c r="M41" i="1"/>
  <c r="L41" i="1"/>
  <c r="Q39" i="1"/>
  <c r="M10" i="1" l="1"/>
  <c r="L19" i="1"/>
  <c r="M17" i="1"/>
  <c r="M12" i="1"/>
  <c r="L12" i="1"/>
  <c r="M11" i="1"/>
  <c r="M34" i="1"/>
  <c r="L34" i="1"/>
  <c r="M28" i="1"/>
  <c r="L28" i="1"/>
  <c r="M27" i="1"/>
  <c r="L27" i="1"/>
  <c r="M13" i="1"/>
  <c r="L13" i="1"/>
  <c r="Q36" i="1"/>
  <c r="P36" i="1"/>
  <c r="O36" i="1"/>
  <c r="Q26" i="1"/>
  <c r="P26" i="1"/>
  <c r="O26" i="1"/>
  <c r="P21" i="1"/>
  <c r="O21" i="1"/>
  <c r="Q10" i="1"/>
  <c r="Q11" i="1"/>
  <c r="Q12" i="1"/>
  <c r="Q13" i="1"/>
  <c r="Q14" i="1"/>
  <c r="Q15" i="1"/>
  <c r="Q16" i="1"/>
  <c r="Q17" i="1"/>
  <c r="Q18" i="1"/>
  <c r="Q19" i="1"/>
  <c r="Q20" i="1"/>
  <c r="Q5" i="1"/>
  <c r="Q6" i="1"/>
  <c r="Q7" i="1"/>
  <c r="Q9" i="1"/>
  <c r="Q8" i="1"/>
  <c r="Q4" i="1"/>
  <c r="M37" i="1"/>
  <c r="L37" i="1"/>
  <c r="M38" i="1"/>
  <c r="M39" i="1"/>
  <c r="L39" i="1"/>
  <c r="P44" i="1" l="1"/>
  <c r="P45" i="1" s="1"/>
  <c r="O44" i="1"/>
  <c r="O45" i="1" s="1"/>
  <c r="Q21" i="1"/>
  <c r="Q44" i="1" s="1"/>
  <c r="Q45" i="1" s="1"/>
  <c r="N27" i="1"/>
  <c r="N28" i="1"/>
  <c r="N30" i="1"/>
  <c r="N31" i="1"/>
  <c r="N32" i="1"/>
  <c r="N34" i="1"/>
  <c r="N37" i="1"/>
  <c r="N39" i="1"/>
  <c r="N40" i="1"/>
  <c r="N41" i="1"/>
  <c r="M43" i="1"/>
  <c r="M42" i="1" l="1"/>
  <c r="L42" i="1"/>
  <c r="N42" i="1" s="1"/>
  <c r="M25" i="1"/>
  <c r="L25" i="1"/>
  <c r="N12" i="1"/>
  <c r="N13" i="1"/>
  <c r="N17" i="1"/>
  <c r="N19" i="1"/>
  <c r="M23" i="1"/>
  <c r="L23" i="1"/>
  <c r="N23" i="1" s="1"/>
  <c r="M22" i="1"/>
  <c r="L22" i="1"/>
  <c r="L18" i="1"/>
  <c r="N18" i="1" s="1"/>
  <c r="N10" i="1"/>
  <c r="N9" i="1"/>
  <c r="M9" i="1"/>
  <c r="N7" i="1"/>
  <c r="M7" i="1"/>
  <c r="L7" i="1"/>
  <c r="N6" i="1"/>
  <c r="N5" i="1"/>
  <c r="N4" i="1"/>
  <c r="L26" i="1" l="1"/>
  <c r="N25" i="1"/>
  <c r="M26" i="1"/>
  <c r="N22" i="1"/>
  <c r="N24" i="1"/>
  <c r="N26" i="1" l="1"/>
  <c r="C43" i="1"/>
  <c r="D43" i="1"/>
  <c r="F43" i="1"/>
  <c r="L43" i="1" s="1"/>
  <c r="N43" i="1" s="1"/>
  <c r="F38" i="1"/>
  <c r="L38" i="1" s="1"/>
  <c r="N38" i="1" s="1"/>
  <c r="G35" i="1"/>
  <c r="M35" i="1" s="1"/>
  <c r="F35" i="1"/>
  <c r="L35" i="1" s="1"/>
  <c r="G33" i="1"/>
  <c r="M33" i="1" s="1"/>
  <c r="F33" i="1"/>
  <c r="L33" i="1" s="1"/>
  <c r="N33" i="1" s="1"/>
  <c r="G32" i="1"/>
  <c r="F32" i="1"/>
  <c r="G29" i="1"/>
  <c r="M29" i="1" s="1"/>
  <c r="F29" i="1"/>
  <c r="L29" i="1" s="1"/>
  <c r="F11" i="1"/>
  <c r="L11" i="1" s="1"/>
  <c r="F20" i="1"/>
  <c r="L20" i="1" s="1"/>
  <c r="G16" i="1"/>
  <c r="M16" i="1" s="1"/>
  <c r="F16" i="1"/>
  <c r="L16" i="1" s="1"/>
  <c r="N16" i="1" s="1"/>
  <c r="G20" i="1"/>
  <c r="M20" i="1" s="1"/>
  <c r="G15" i="1"/>
  <c r="M15" i="1" s="1"/>
  <c r="F15" i="1"/>
  <c r="L15" i="1" s="1"/>
  <c r="N15" i="1" s="1"/>
  <c r="G14" i="1"/>
  <c r="M14" i="1" s="1"/>
  <c r="G8" i="1"/>
  <c r="M8" i="1" s="1"/>
  <c r="F8" i="1"/>
  <c r="L8" i="1" s="1"/>
  <c r="D26" i="1"/>
  <c r="C26" i="1"/>
  <c r="L21" i="1" l="1"/>
  <c r="N11" i="1"/>
  <c r="M21" i="1"/>
  <c r="M44" i="1" s="1"/>
  <c r="N14" i="1"/>
  <c r="M36" i="1"/>
  <c r="L36" i="1"/>
  <c r="N29" i="1"/>
  <c r="N36" i="1" s="1"/>
  <c r="N8" i="1"/>
  <c r="N20" i="1"/>
  <c r="N35" i="1"/>
  <c r="J25" i="1"/>
  <c r="I25" i="1"/>
  <c r="G26" i="1"/>
  <c r="F26" i="1"/>
  <c r="H25" i="1"/>
  <c r="K25" i="1" l="1"/>
  <c r="N21" i="1"/>
  <c r="N44" i="1" s="1"/>
  <c r="L44" i="1"/>
  <c r="E25" i="1" l="1"/>
  <c r="J5" i="1" l="1"/>
  <c r="I5" i="1"/>
  <c r="J28" i="1" l="1"/>
  <c r="I28" i="1"/>
  <c r="J37" i="1" l="1"/>
  <c r="I37" i="1"/>
  <c r="E37" i="1"/>
  <c r="H37" i="1"/>
  <c r="K37" i="1" l="1"/>
  <c r="I16" i="1"/>
  <c r="I15" i="1"/>
  <c r="J14" i="1"/>
  <c r="J32" i="1"/>
  <c r="J39" i="1"/>
  <c r="J40" i="1"/>
  <c r="J41" i="1"/>
  <c r="J41" i="5" s="1"/>
  <c r="J42" i="1"/>
  <c r="I39" i="1"/>
  <c r="I40" i="1"/>
  <c r="I42" i="1"/>
  <c r="J38" i="1"/>
  <c r="I38" i="1"/>
  <c r="J30" i="1"/>
  <c r="J31" i="1"/>
  <c r="J33" i="1"/>
  <c r="J34" i="1"/>
  <c r="J35" i="1"/>
  <c r="I30" i="1"/>
  <c r="I31" i="1"/>
  <c r="I32" i="1"/>
  <c r="I33" i="1"/>
  <c r="I34" i="1"/>
  <c r="I35" i="1"/>
  <c r="J29" i="1"/>
  <c r="I29" i="1"/>
  <c r="I27" i="1"/>
  <c r="J24" i="1"/>
  <c r="I24" i="1"/>
  <c r="J23" i="1"/>
  <c r="I23" i="1"/>
  <c r="J22" i="1"/>
  <c r="I22" i="1"/>
  <c r="J12" i="1"/>
  <c r="J13" i="1"/>
  <c r="J15" i="1"/>
  <c r="J16" i="1"/>
  <c r="J17" i="1"/>
  <c r="J18" i="1"/>
  <c r="J19" i="1"/>
  <c r="J20" i="1"/>
  <c r="I12" i="1"/>
  <c r="I13" i="1"/>
  <c r="I14" i="1"/>
  <c r="I17" i="1"/>
  <c r="I18" i="1"/>
  <c r="I19" i="1"/>
  <c r="I20" i="1"/>
  <c r="J11" i="1"/>
  <c r="I11" i="1"/>
  <c r="J10" i="1"/>
  <c r="I10" i="1"/>
  <c r="J9" i="1"/>
  <c r="I9" i="1"/>
  <c r="J8" i="1"/>
  <c r="I8" i="1"/>
  <c r="J6" i="1"/>
  <c r="J7" i="1"/>
  <c r="I6" i="1"/>
  <c r="I7" i="1"/>
  <c r="J4" i="1"/>
  <c r="I4" i="1"/>
  <c r="I41" i="1"/>
  <c r="J43" i="1"/>
  <c r="I43" i="1"/>
  <c r="J27" i="1"/>
  <c r="J26" i="1" l="1"/>
  <c r="I26" i="1"/>
  <c r="K43" i="1"/>
  <c r="H43" i="1"/>
  <c r="E43" i="1"/>
  <c r="K42" i="1"/>
  <c r="H42" i="1"/>
  <c r="E42" i="1"/>
  <c r="K41" i="1"/>
  <c r="K41" i="5" s="1"/>
  <c r="H41" i="1"/>
  <c r="E41" i="1"/>
  <c r="E41" i="5" s="1"/>
  <c r="K40" i="1"/>
  <c r="K39" i="1"/>
  <c r="H39" i="1"/>
  <c r="E39" i="1"/>
  <c r="K38" i="1"/>
  <c r="H38" i="1"/>
  <c r="E38" i="1"/>
  <c r="J36" i="1"/>
  <c r="I36" i="1"/>
  <c r="D36" i="1"/>
  <c r="K35" i="1"/>
  <c r="E35" i="1"/>
  <c r="K34" i="1"/>
  <c r="H34" i="1"/>
  <c r="E34" i="1"/>
  <c r="K33" i="1"/>
  <c r="E33" i="1"/>
  <c r="K32" i="1"/>
  <c r="H32" i="1"/>
  <c r="C36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H24" i="1"/>
  <c r="E24" i="1"/>
  <c r="K23" i="1"/>
  <c r="H23" i="1"/>
  <c r="K22" i="1"/>
  <c r="H22" i="1"/>
  <c r="E22" i="1"/>
  <c r="K20" i="1"/>
  <c r="E20" i="1"/>
  <c r="J21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F21" i="1"/>
  <c r="D21" i="1"/>
  <c r="I21" i="1"/>
  <c r="E10" i="1"/>
  <c r="K9" i="1"/>
  <c r="H9" i="1"/>
  <c r="K8" i="1"/>
  <c r="K7" i="1"/>
  <c r="H7" i="1"/>
  <c r="E7" i="1"/>
  <c r="K6" i="1"/>
  <c r="H6" i="1"/>
  <c r="E6" i="1"/>
  <c r="K5" i="1"/>
  <c r="H5" i="1"/>
  <c r="E5" i="1"/>
  <c r="K4" i="1"/>
  <c r="H4" i="1"/>
  <c r="E4" i="1"/>
  <c r="D44" i="1" l="1"/>
  <c r="H26" i="1"/>
  <c r="G21" i="1"/>
  <c r="H21" i="1" s="1"/>
  <c r="H20" i="1"/>
  <c r="G36" i="1"/>
  <c r="E36" i="1"/>
  <c r="H35" i="1"/>
  <c r="H8" i="1"/>
  <c r="K36" i="1"/>
  <c r="H33" i="1"/>
  <c r="H10" i="1"/>
  <c r="K10" i="1"/>
  <c r="E11" i="1"/>
  <c r="J44" i="1"/>
  <c r="J44" i="5" s="1"/>
  <c r="I44" i="1"/>
  <c r="C21" i="1"/>
  <c r="C44" i="1" s="1"/>
  <c r="C45" i="1" s="1"/>
  <c r="K24" i="1"/>
  <c r="K26" i="1" s="1"/>
  <c r="F36" i="1"/>
  <c r="F44" i="1" s="1"/>
  <c r="H11" i="1"/>
  <c r="K19" i="1"/>
  <c r="E23" i="1"/>
  <c r="E26" i="1" s="1"/>
  <c r="D45" i="1" l="1"/>
  <c r="D45" i="5" s="1"/>
  <c r="D44" i="5"/>
  <c r="G44" i="1"/>
  <c r="K21" i="1"/>
  <c r="K44" i="1" s="1"/>
  <c r="K44" i="5" s="1"/>
  <c r="E21" i="1"/>
  <c r="E44" i="1" s="1"/>
  <c r="H36" i="1"/>
  <c r="H44" i="1" s="1"/>
  <c r="E45" i="1" l="1"/>
  <c r="E45" i="5" s="1"/>
  <c r="E44" i="5"/>
</calcChain>
</file>

<file path=xl/comments1.xml><?xml version="1.0" encoding="utf-8"?>
<comments xmlns="http://schemas.openxmlformats.org/spreadsheetml/2006/main">
  <authors>
    <author>ralitsa</author>
  </authors>
  <commentList>
    <comment ref="O43" authorId="0" shapeId="0">
      <text>
        <r>
          <rPr>
            <b/>
            <sz val="9"/>
            <color indexed="81"/>
            <rFont val="Tahoma"/>
            <family val="2"/>
            <charset val="204"/>
          </rPr>
          <t>РИ:
сметосъбиращ камион  16 м3-330000; сметосъбиращ камион 8 м3- 294000; 
лодки 5 бр.*2200лв.;
метален за битови 5 бр.*2200; компютър-1500; лаптоп-1500.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РИ: цистерна за вода-312000;
камион до 3,5 т--120000; компютър- 2бр.*1500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<sst xmlns="http://schemas.openxmlformats.org/spreadsheetml/2006/main" count="194" uniqueCount="77">
  <si>
    <t>§</t>
  </si>
  <si>
    <t>01-00</t>
  </si>
  <si>
    <t>Изпл-ни суми от СБКО</t>
  </si>
  <si>
    <t>02-05</t>
  </si>
  <si>
    <t>Обезщетения за персонала, с х-р на възн-е</t>
  </si>
  <si>
    <t>02-08</t>
  </si>
  <si>
    <t>Други плащания и възнаграждения</t>
  </si>
  <si>
    <t>02-09</t>
  </si>
  <si>
    <t>05-00</t>
  </si>
  <si>
    <t>Работно облекло</t>
  </si>
  <si>
    <t>10-13</t>
  </si>
  <si>
    <t>10-15</t>
  </si>
  <si>
    <t>резервни части коли</t>
  </si>
  <si>
    <t>смазочни материали</t>
  </si>
  <si>
    <t>акумулатори</t>
  </si>
  <si>
    <t>консумативи ръчно почистване /метли,лопати,торби за смет/</t>
  </si>
  <si>
    <t>спомагателни и консумативи автом.</t>
  </si>
  <si>
    <t>материали РМЦ /грес, електроди и др./</t>
  </si>
  <si>
    <t xml:space="preserve">консумативи машинно почистване (четки, метални ножове за гребла, гуми) </t>
  </si>
  <si>
    <t>канцеларски материали</t>
  </si>
  <si>
    <t>други м-ли</t>
  </si>
  <si>
    <t>Всичко за §10-15</t>
  </si>
  <si>
    <t>Разходи за вода</t>
  </si>
  <si>
    <t>10-16</t>
  </si>
  <si>
    <t>Ел.енергия</t>
  </si>
  <si>
    <t>Разходи за горива</t>
  </si>
  <si>
    <t>Всичко за § 10-16</t>
  </si>
  <si>
    <t>Автосервизни услуги</t>
  </si>
  <si>
    <t>10-20</t>
  </si>
  <si>
    <t>сервизно обслужване на нова техника</t>
  </si>
  <si>
    <t>в усл.спц.автом. /ресори,хидр.бут./</t>
  </si>
  <si>
    <t xml:space="preserve">Охрана </t>
  </si>
  <si>
    <t>Телефони</t>
  </si>
  <si>
    <t>Годишни технически прегледи</t>
  </si>
  <si>
    <t>Всичко §10-20</t>
  </si>
  <si>
    <t>Командировки</t>
  </si>
  <si>
    <t>10-51</t>
  </si>
  <si>
    <t xml:space="preserve">Застраховки </t>
  </si>
  <si>
    <t>10-62</t>
  </si>
  <si>
    <t>Държавни такси</t>
  </si>
  <si>
    <t>19-01</t>
  </si>
  <si>
    <t>Данъци и такси</t>
  </si>
  <si>
    <t>19-81</t>
  </si>
  <si>
    <t>Инвестиция</t>
  </si>
  <si>
    <t>ВСИЧКО:</t>
  </si>
  <si>
    <t>Осигурителни вноски - 19.62%</t>
  </si>
  <si>
    <t xml:space="preserve">Други услуги </t>
  </si>
  <si>
    <t xml:space="preserve">Фонд РЗ </t>
  </si>
  <si>
    <t xml:space="preserve">съдове за смет </t>
  </si>
  <si>
    <t>Абонаментно обслужване (компютри, касов апарат, счет.програма, ПП Алиса, инт., служба тр.мед., прегледи, поддържане бенз. и др.)</t>
  </si>
  <si>
    <t xml:space="preserve">външни изпълнители </t>
  </si>
  <si>
    <t>10-91</t>
  </si>
  <si>
    <t>Други разходи за СБКО</t>
  </si>
  <si>
    <t>Текущ ремонт</t>
  </si>
  <si>
    <t>10-30</t>
  </si>
  <si>
    <t>сол и др.материали зимнно поддържане</t>
  </si>
  <si>
    <t>Сметосъбиране, транспортиране на отпадъци
БЮДЖЕТ 2025</t>
  </si>
  <si>
    <t>Поддържане чистота 
БЮДЖЕТ 2025</t>
  </si>
  <si>
    <t>ОБЩО БЮДЖЕТ 2025</t>
  </si>
  <si>
    <t>Газ за отопление</t>
  </si>
  <si>
    <t>Остатък Сметосъбиране, транспортиране на отпадъци
БЮДЖЕТ 2025</t>
  </si>
  <si>
    <t>Остатък Поддържане чистота 
БЮДЖЕТ 2025</t>
  </si>
  <si>
    <t>Остатък ОБЩО БЮДЖЕТ 2025</t>
  </si>
  <si>
    <t>Сметосъбиране, транспортиране на отпадъци
изпълнение към  30.09.2025</t>
  </si>
  <si>
    <t>Поддържане чистота 
 изпъление към  30.09.2025</t>
  </si>
  <si>
    <t>ОБЩО изпъленние към 30.09.2025</t>
  </si>
  <si>
    <t>Очаквано изпълнение Сметосъбиране към 31.12.2025</t>
  </si>
  <si>
    <t>Очаквано изпълнение Чистота към 31.12.2025</t>
  </si>
  <si>
    <t>Очаквано изпълнение Бюджет към 31.12.2025</t>
  </si>
  <si>
    <t>Бюджет Сметосъбиране 2026</t>
  </si>
  <si>
    <t>Бюджет Чистота 2026</t>
  </si>
  <si>
    <t>Общо Бюджет 2026</t>
  </si>
  <si>
    <t>Разходи в ЕВРО
ОП Благоустрояване</t>
  </si>
  <si>
    <t>Разходи в ЛЕВА
ОП Благоустрояване</t>
  </si>
  <si>
    <t>Бюджет за разходите по план сметката за такса битови отпадъци за 2026г.</t>
  </si>
  <si>
    <t>Приложение № 1.1</t>
  </si>
  <si>
    <t>Текущи разходи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</si>
</sst>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5" fillId="0" borderId="8" xfId="0" applyFont="1" applyBorder="1"/>
    <xf numFmtId="0" fontId="5" fillId="0" borderId="10" xfId="0" applyFont="1" applyBorder="1"/>
    <xf numFmtId="0" fontId="1" fillId="0" borderId="8" xfId="0" applyFont="1" applyBorder="1"/>
    <xf numFmtId="0" fontId="4" fillId="0" borderId="10" xfId="0" applyFont="1" applyBorder="1"/>
    <xf numFmtId="0" fontId="5" fillId="0" borderId="4" xfId="0" applyFont="1" applyBorder="1"/>
    <xf numFmtId="0" fontId="5" fillId="0" borderId="1" xfId="0" applyFont="1" applyFill="1" applyBorder="1"/>
    <xf numFmtId="0" fontId="5" fillId="0" borderId="1" xfId="0" applyFont="1" applyBorder="1"/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5" fillId="0" borderId="8" xfId="0" applyFont="1" applyFill="1" applyBorder="1"/>
    <xf numFmtId="0" fontId="2" fillId="0" borderId="17" xfId="0" applyFont="1" applyBorder="1" applyAlignment="1">
      <alignment horizontal="center" vertical="center" wrapText="1"/>
    </xf>
    <xf numFmtId="0" fontId="1" fillId="0" borderId="4" xfId="0" applyFont="1" applyBorder="1"/>
    <xf numFmtId="49" fontId="5" fillId="0" borderId="5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21" xfId="0" applyFont="1" applyBorder="1"/>
    <xf numFmtId="49" fontId="5" fillId="0" borderId="20" xfId="0" applyNumberFormat="1" applyFont="1" applyBorder="1" applyAlignment="1">
      <alignment horizontal="center"/>
    </xf>
    <xf numFmtId="0" fontId="5" fillId="0" borderId="21" xfId="0" applyFont="1" applyFill="1" applyBorder="1"/>
    <xf numFmtId="0" fontId="2" fillId="0" borderId="1" xfId="0" applyFont="1" applyBorder="1"/>
    <xf numFmtId="0" fontId="2" fillId="0" borderId="0" xfId="0" applyFont="1" applyBorder="1"/>
    <xf numFmtId="49" fontId="5" fillId="0" borderId="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/>
    <xf numFmtId="0" fontId="2" fillId="0" borderId="19" xfId="0" applyFont="1" applyFill="1" applyBorder="1"/>
    <xf numFmtId="0" fontId="5" fillId="0" borderId="0" xfId="0" quotePrefix="1" applyFont="1"/>
    <xf numFmtId="3" fontId="5" fillId="0" borderId="0" xfId="0" applyNumberFormat="1" applyFont="1" applyAlignment="1">
      <alignment horizontal="left"/>
    </xf>
    <xf numFmtId="3" fontId="7" fillId="0" borderId="0" xfId="0" applyNumberFormat="1" applyFont="1"/>
    <xf numFmtId="4" fontId="8" fillId="0" borderId="19" xfId="0" applyNumberFormat="1" applyFont="1" applyBorder="1"/>
    <xf numFmtId="4" fontId="8" fillId="0" borderId="20" xfId="0" applyNumberFormat="1" applyFont="1" applyBorder="1"/>
    <xf numFmtId="4" fontId="8" fillId="0" borderId="1" xfId="0" applyNumberFormat="1" applyFont="1" applyBorder="1"/>
    <xf numFmtId="4" fontId="8" fillId="0" borderId="2" xfId="0" applyNumberFormat="1" applyFon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8" fillId="0" borderId="10" xfId="0" applyNumberFormat="1" applyFont="1" applyBorder="1"/>
    <xf numFmtId="4" fontId="8" fillId="0" borderId="14" xfId="0" applyNumberFormat="1" applyFont="1" applyBorder="1"/>
    <xf numFmtId="4" fontId="0" fillId="0" borderId="7" xfId="0" applyNumberFormat="1" applyBorder="1"/>
    <xf numFmtId="4" fontId="0" fillId="0" borderId="2" xfId="0" applyNumberFormat="1" applyBorder="1"/>
    <xf numFmtId="4" fontId="0" fillId="0" borderId="21" xfId="0" applyNumberFormat="1" applyBorder="1"/>
    <xf numFmtId="4" fontId="0" fillId="0" borderId="26" xfId="0" applyNumberForma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0" fillId="0" borderId="7" xfId="0" applyNumberFormat="1" applyBorder="1"/>
    <xf numFmtId="3" fontId="0" fillId="0" borderId="9" xfId="0" applyNumberFormat="1" applyBorder="1"/>
    <xf numFmtId="3" fontId="0" fillId="0" borderId="2" xfId="0" applyNumberFormat="1" applyBorder="1"/>
    <xf numFmtId="3" fontId="0" fillId="0" borderId="5" xfId="0" applyNumberFormat="1" applyBorder="1"/>
    <xf numFmtId="3" fontId="8" fillId="0" borderId="14" xfId="0" applyNumberFormat="1" applyFont="1" applyBorder="1"/>
    <xf numFmtId="3" fontId="8" fillId="0" borderId="20" xfId="0" applyNumberFormat="1" applyFont="1" applyBorder="1"/>
    <xf numFmtId="49" fontId="2" fillId="0" borderId="20" xfId="0" applyNumberFormat="1" applyFont="1" applyBorder="1" applyAlignment="1">
      <alignment horizontal="center"/>
    </xf>
    <xf numFmtId="4" fontId="8" fillId="0" borderId="15" xfId="0" applyNumberFormat="1" applyFont="1" applyBorder="1"/>
    <xf numFmtId="3" fontId="8" fillId="0" borderId="20" xfId="0" applyNumberFormat="1" applyFont="1" applyFill="1" applyBorder="1"/>
    <xf numFmtId="49" fontId="3" fillId="0" borderId="27" xfId="0" applyNumberFormat="1" applyFont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4" fontId="0" fillId="0" borderId="13" xfId="0" applyNumberFormat="1" applyBorder="1"/>
    <xf numFmtId="4" fontId="9" fillId="0" borderId="9" xfId="0" applyNumberFormat="1" applyFont="1" applyFill="1" applyBorder="1"/>
    <xf numFmtId="4" fontId="0" fillId="0" borderId="9" xfId="0" applyNumberFormat="1" applyFill="1" applyBorder="1"/>
    <xf numFmtId="4" fontId="0" fillId="0" borderId="16" xfId="0" applyNumberFormat="1" applyBorder="1"/>
    <xf numFmtId="4" fontId="0" fillId="0" borderId="12" xfId="0" applyNumberFormat="1" applyBorder="1"/>
    <xf numFmtId="4" fontId="0" fillId="0" borderId="23" xfId="0" applyNumberFormat="1" applyBorder="1"/>
    <xf numFmtId="0" fontId="2" fillId="0" borderId="19" xfId="0" applyFont="1" applyBorder="1"/>
    <xf numFmtId="4" fontId="0" fillId="0" borderId="5" xfId="0" applyNumberFormat="1" applyFill="1" applyBorder="1"/>
    <xf numFmtId="4" fontId="0" fillId="0" borderId="3" xfId="0" applyNumberFormat="1" applyBorder="1"/>
    <xf numFmtId="3" fontId="3" fillId="0" borderId="17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/>
    <xf numFmtId="4" fontId="0" fillId="0" borderId="8" xfId="0" applyNumberFormat="1" applyFill="1" applyBorder="1"/>
    <xf numFmtId="4" fontId="0" fillId="0" borderId="4" xfId="0" applyNumberFormat="1" applyFill="1" applyBorder="1"/>
    <xf numFmtId="4" fontId="8" fillId="0" borderId="3" xfId="0" applyNumberFormat="1" applyFont="1" applyBorder="1"/>
    <xf numFmtId="4" fontId="8" fillId="0" borderId="25" xfId="0" applyNumberFormat="1" applyFont="1" applyBorder="1"/>
    <xf numFmtId="3" fontId="9" fillId="0" borderId="2" xfId="0" applyNumberFormat="1" applyFont="1" applyBorder="1"/>
    <xf numFmtId="4" fontId="0" fillId="0" borderId="6" xfId="0" applyNumberFormat="1" applyFill="1" applyBorder="1"/>
    <xf numFmtId="4" fontId="0" fillId="0" borderId="7" xfId="0" applyNumberFormat="1" applyFill="1" applyBorder="1"/>
    <xf numFmtId="3" fontId="8" fillId="0" borderId="2" xfId="0" applyNumberFormat="1" applyFont="1" applyBorder="1"/>
    <xf numFmtId="4" fontId="0" fillId="0" borderId="6" xfId="0" applyNumberFormat="1" applyBorder="1"/>
    <xf numFmtId="4" fontId="0" fillId="0" borderId="4" xfId="0" applyNumberFormat="1" applyBorder="1"/>
    <xf numFmtId="3" fontId="1" fillId="0" borderId="0" xfId="0" applyNumberFormat="1" applyFont="1" applyAlignment="1">
      <alignment horizontal="right"/>
    </xf>
    <xf numFmtId="4" fontId="9" fillId="0" borderId="13" xfId="0" applyNumberFormat="1" applyFont="1" applyBorder="1"/>
    <xf numFmtId="4" fontId="10" fillId="0" borderId="15" xfId="0" applyNumberFormat="1" applyFont="1" applyBorder="1"/>
    <xf numFmtId="4" fontId="0" fillId="0" borderId="0" xfId="0" applyNumberFormat="1" applyBorder="1"/>
    <xf numFmtId="3" fontId="6" fillId="0" borderId="0" xfId="0" applyNumberFormat="1" applyFont="1" applyAlignment="1">
      <alignment horizontal="left"/>
    </xf>
    <xf numFmtId="4" fontId="0" fillId="0" borderId="24" xfId="0" applyNumberFormat="1" applyBorder="1"/>
    <xf numFmtId="3" fontId="1" fillId="0" borderId="0" xfId="0" applyNumberFormat="1" applyFont="1" applyBorder="1" applyAlignment="1">
      <alignment horizontal="right"/>
    </xf>
    <xf numFmtId="4" fontId="12" fillId="0" borderId="0" xfId="0" applyNumberFormat="1" applyFont="1" applyBorder="1"/>
    <xf numFmtId="3" fontId="6" fillId="0" borderId="0" xfId="0" applyNumberFormat="1" applyFont="1" applyBorder="1" applyAlignment="1">
      <alignment horizontal="left"/>
    </xf>
    <xf numFmtId="4" fontId="0" fillId="0" borderId="17" xfId="0" applyNumberFormat="1" applyBorder="1"/>
    <xf numFmtId="4" fontId="0" fillId="0" borderId="27" xfId="0" applyNumberForma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8" fillId="0" borderId="1" xfId="0" applyNumberFormat="1" applyFont="1" applyFill="1" applyBorder="1"/>
    <xf numFmtId="4" fontId="0" fillId="0" borderId="1" xfId="0" applyNumberFormat="1" applyFont="1" applyBorder="1"/>
    <xf numFmtId="4" fontId="0" fillId="0" borderId="2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9" fillId="0" borderId="2" xfId="0" applyNumberFormat="1" applyFont="1" applyBorder="1"/>
    <xf numFmtId="4" fontId="9" fillId="0" borderId="3" xfId="0" applyNumberFormat="1" applyFont="1" applyBorder="1"/>
    <xf numFmtId="4" fontId="9" fillId="0" borderId="1" xfId="0" applyNumberFormat="1" applyFont="1" applyBorder="1"/>
    <xf numFmtId="0" fontId="5" fillId="0" borderId="19" xfId="0" applyFont="1" applyBorder="1"/>
    <xf numFmtId="0" fontId="0" fillId="0" borderId="0" xfId="0" applyFill="1" applyBorder="1"/>
    <xf numFmtId="2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4" fontId="0" fillId="0" borderId="1" xfId="0" applyNumberFormat="1" applyBorder="1"/>
    <xf numFmtId="4" fontId="8" fillId="0" borderId="22" xfId="0" applyNumberFormat="1" applyFont="1" applyBorder="1"/>
    <xf numFmtId="4" fontId="8" fillId="0" borderId="18" xfId="0" applyNumberFormat="1" applyFont="1" applyBorder="1"/>
    <xf numFmtId="4" fontId="8" fillId="0" borderId="24" xfId="0" applyNumberFormat="1" applyFont="1" applyBorder="1"/>
    <xf numFmtId="0" fontId="0" fillId="0" borderId="0" xfId="0" applyFill="1" applyBorder="1" applyAlignment="1"/>
    <xf numFmtId="2" fontId="0" fillId="0" borderId="0" xfId="0" applyNumberFormat="1" applyFill="1" applyBorder="1" applyAlignment="1"/>
    <xf numFmtId="3" fontId="0" fillId="0" borderId="12" xfId="0" applyNumberFormat="1" applyBorder="1"/>
    <xf numFmtId="3" fontId="0" fillId="0" borderId="13" xfId="0" applyNumberFormat="1" applyBorder="1"/>
    <xf numFmtId="3" fontId="0" fillId="0" borderId="15" xfId="0" applyNumberFormat="1" applyBorder="1"/>
    <xf numFmtId="3" fontId="8" fillId="0" borderId="26" xfId="0" applyNumberFormat="1" applyFont="1" applyBorder="1"/>
    <xf numFmtId="3" fontId="8" fillId="0" borderId="23" xfId="0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8" fillId="0" borderId="30" xfId="0" applyNumberFormat="1" applyFont="1" applyBorder="1"/>
    <xf numFmtId="3" fontId="8" fillId="0" borderId="15" xfId="0" applyNumberFormat="1" applyFont="1" applyBorder="1"/>
    <xf numFmtId="3" fontId="0" fillId="0" borderId="16" xfId="0" applyNumberFormat="1" applyBorder="1"/>
    <xf numFmtId="3" fontId="8" fillId="0" borderId="25" xfId="0" applyNumberFormat="1" applyFont="1" applyBorder="1"/>
    <xf numFmtId="3" fontId="8" fillId="0" borderId="29" xfId="0" applyNumberFormat="1" applyFont="1" applyBorder="1"/>
    <xf numFmtId="3" fontId="9" fillId="0" borderId="11" xfId="0" applyNumberFormat="1" applyFont="1" applyBorder="1"/>
    <xf numFmtId="3" fontId="9" fillId="0" borderId="3" xfId="0" applyNumberFormat="1" applyFont="1" applyBorder="1"/>
    <xf numFmtId="3" fontId="0" fillId="0" borderId="31" xfId="0" applyNumberFormat="1" applyBorder="1"/>
    <xf numFmtId="3" fontId="0" fillId="0" borderId="26" xfId="0" applyNumberFormat="1" applyBorder="1"/>
    <xf numFmtId="3" fontId="0" fillId="0" borderId="23" xfId="0" applyNumberFormat="1" applyBorder="1"/>
    <xf numFmtId="3" fontId="0" fillId="0" borderId="11" xfId="0" applyNumberFormat="1" applyBorder="1"/>
    <xf numFmtId="3" fontId="0" fillId="0" borderId="3" xfId="0" applyNumberFormat="1" applyBorder="1"/>
    <xf numFmtId="3" fontId="8" fillId="0" borderId="3" xfId="0" applyNumberFormat="1" applyFont="1" applyBorder="1"/>
    <xf numFmtId="3" fontId="0" fillId="0" borderId="8" xfId="0" applyNumberFormat="1" applyFill="1" applyBorder="1"/>
    <xf numFmtId="3" fontId="0" fillId="0" borderId="19" xfId="0" applyNumberFormat="1" applyFill="1" applyBorder="1"/>
    <xf numFmtId="3" fontId="0" fillId="0" borderId="1" xfId="0" applyNumberFormat="1" applyFill="1" applyBorder="1"/>
    <xf numFmtId="3" fontId="0" fillId="0" borderId="6" xfId="0" applyNumberFormat="1" applyFill="1" applyBorder="1"/>
    <xf numFmtId="3" fontId="8" fillId="0" borderId="19" xfId="0" applyNumberFormat="1" applyFont="1" applyFill="1" applyBorder="1"/>
    <xf numFmtId="3" fontId="0" fillId="0" borderId="4" xfId="0" applyNumberFormat="1" applyFill="1" applyBorder="1"/>
    <xf numFmtId="3" fontId="8" fillId="0" borderId="10" xfId="0" applyNumberFormat="1" applyFont="1" applyFill="1" applyBorder="1"/>
    <xf numFmtId="3" fontId="15" fillId="0" borderId="8" xfId="0" applyNumberFormat="1" applyFont="1" applyFill="1" applyBorder="1"/>
    <xf numFmtId="3" fontId="5" fillId="0" borderId="1" xfId="0" applyNumberFormat="1" applyFont="1" applyFill="1" applyBorder="1"/>
    <xf numFmtId="3" fontId="0" fillId="0" borderId="21" xfId="0" applyNumberFormat="1" applyFill="1" applyBorder="1"/>
    <xf numFmtId="3" fontId="8" fillId="0" borderId="24" xfId="0" applyNumberFormat="1" applyFont="1" applyBorder="1"/>
    <xf numFmtId="3" fontId="0" fillId="0" borderId="0" xfId="0" applyNumberFormat="1" applyFill="1" applyBorder="1"/>
    <xf numFmtId="3" fontId="0" fillId="0" borderId="9" xfId="0" applyNumberFormat="1" applyFill="1" applyBorder="1"/>
    <xf numFmtId="3" fontId="0" fillId="0" borderId="20" xfId="0" applyNumberFormat="1" applyFill="1" applyBorder="1"/>
    <xf numFmtId="3" fontId="9" fillId="0" borderId="2" xfId="0" applyNumberFormat="1" applyFont="1" applyFill="1" applyBorder="1"/>
    <xf numFmtId="3" fontId="0" fillId="0" borderId="7" xfId="0" applyNumberFormat="1" applyFill="1" applyBorder="1"/>
    <xf numFmtId="3" fontId="9" fillId="0" borderId="9" xfId="0" applyNumberFormat="1" applyFont="1" applyFill="1" applyBorder="1" applyAlignment="1"/>
    <xf numFmtId="3" fontId="9" fillId="0" borderId="9" xfId="0" applyNumberFormat="1" applyFont="1" applyFill="1" applyBorder="1"/>
    <xf numFmtId="3" fontId="8" fillId="0" borderId="20" xfId="0" applyNumberFormat="1" applyFont="1" applyFill="1" applyBorder="1" applyAlignment="1"/>
    <xf numFmtId="3" fontId="9" fillId="0" borderId="5" xfId="0" applyNumberFormat="1" applyFont="1" applyFill="1" applyBorder="1" applyAlignment="1"/>
    <xf numFmtId="3" fontId="8" fillId="0" borderId="14" xfId="0" applyNumberFormat="1" applyFont="1" applyFill="1" applyBorder="1"/>
    <xf numFmtId="3" fontId="0" fillId="0" borderId="2" xfId="0" applyNumberFormat="1" applyFill="1" applyBorder="1"/>
    <xf numFmtId="3" fontId="0" fillId="0" borderId="26" xfId="0" applyNumberFormat="1" applyFill="1" applyBorder="1"/>
    <xf numFmtId="3" fontId="5" fillId="0" borderId="0" xfId="0" applyNumberFormat="1" applyFont="1" applyFill="1" applyBorder="1"/>
    <xf numFmtId="3" fontId="0" fillId="0" borderId="13" xfId="0" applyNumberFormat="1" applyFill="1" applyBorder="1"/>
    <xf numFmtId="3" fontId="0" fillId="0" borderId="25" xfId="0" applyNumberFormat="1" applyFill="1" applyBorder="1"/>
    <xf numFmtId="3" fontId="0" fillId="0" borderId="3" xfId="0" applyNumberFormat="1" applyFill="1" applyBorder="1"/>
    <xf numFmtId="3" fontId="0" fillId="0" borderId="16" xfId="0" applyNumberFormat="1" applyFill="1" applyBorder="1"/>
    <xf numFmtId="3" fontId="8" fillId="0" borderId="25" xfId="0" applyNumberFormat="1" applyFont="1" applyFill="1" applyBorder="1"/>
    <xf numFmtId="3" fontId="0" fillId="0" borderId="12" xfId="0" applyNumberFormat="1" applyFill="1" applyBorder="1"/>
    <xf numFmtId="3" fontId="8" fillId="0" borderId="15" xfId="0" applyNumberFormat="1" applyFont="1" applyFill="1" applyBorder="1"/>
    <xf numFmtId="3" fontId="0" fillId="0" borderId="23" xfId="0" applyNumberFormat="1" applyFill="1" applyBorder="1"/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Border="1" applyAlignment="1"/>
    <xf numFmtId="4" fontId="9" fillId="0" borderId="8" xfId="0" applyNumberFormat="1" applyFont="1" applyBorder="1"/>
    <xf numFmtId="4" fontId="9" fillId="0" borderId="9" xfId="0" applyNumberFormat="1" applyFont="1" applyBorder="1"/>
    <xf numFmtId="4" fontId="5" fillId="0" borderId="10" xfId="0" applyNumberFormat="1" applyFont="1" applyFill="1" applyBorder="1" applyAlignment="1">
      <alignment horizontal="right"/>
    </xf>
    <xf numFmtId="4" fontId="10" fillId="0" borderId="14" xfId="0" applyNumberFormat="1" applyFont="1" applyBorder="1"/>
    <xf numFmtId="4" fontId="0" fillId="0" borderId="19" xfId="0" applyNumberFormat="1" applyFont="1" applyBorder="1"/>
    <xf numFmtId="4" fontId="0" fillId="0" borderId="20" xfId="0" applyNumberFormat="1" applyFont="1" applyBorder="1"/>
    <xf numFmtId="4" fontId="0" fillId="0" borderId="25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" fontId="5" fillId="0" borderId="8" xfId="0" applyNumberFormat="1" applyFont="1" applyFill="1" applyBorder="1" applyAlignment="1">
      <alignment horizontal="right"/>
    </xf>
    <xf numFmtId="4" fontId="8" fillId="0" borderId="10" xfId="0" applyNumberFormat="1" applyFont="1" applyFill="1" applyBorder="1"/>
    <xf numFmtId="4" fontId="8" fillId="0" borderId="14" xfId="0" applyNumberFormat="1" applyFont="1" applyFill="1" applyBorder="1"/>
    <xf numFmtId="4" fontId="0" fillId="0" borderId="0" xfId="0" applyNumberFormat="1"/>
    <xf numFmtId="4" fontId="9" fillId="0" borderId="0" xfId="0" applyNumberFormat="1" applyFont="1"/>
    <xf numFmtId="4" fontId="3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/>
    <xf numFmtId="0" fontId="5" fillId="0" borderId="0" xfId="0" applyFont="1" applyFill="1"/>
    <xf numFmtId="4" fontId="0" fillId="0" borderId="0" xfId="0" applyNumberFormat="1" applyAlignment="1">
      <alignment horizontal="right"/>
    </xf>
    <xf numFmtId="3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abSelected="1" zoomScaleNormal="100" workbookViewId="0">
      <selection activeCell="L51" sqref="L51"/>
    </sheetView>
  </sheetViews>
  <sheetFormatPr defaultRowHeight="15.75" x14ac:dyDescent="0.25"/>
  <cols>
    <col min="1" max="1" width="47" style="8" customWidth="1"/>
    <col min="2" max="2" width="5.625" style="9" bestFit="1" customWidth="1"/>
    <col min="3" max="3" width="11.75" style="33" customWidth="1"/>
    <col min="4" max="4" width="13.75" style="33" customWidth="1"/>
    <col min="5" max="5" width="12.375" style="33" customWidth="1"/>
    <col min="6" max="6" width="12.375" style="190" bestFit="1" customWidth="1"/>
    <col min="7" max="8" width="11.5" style="190" bestFit="1" customWidth="1"/>
    <col min="9" max="9" width="12.375" style="190" hidden="1" customWidth="1"/>
    <col min="10" max="10" width="12.625" style="190" hidden="1" customWidth="1"/>
    <col min="11" max="11" width="15.25" style="190" hidden="1" customWidth="1"/>
    <col min="12" max="13" width="15.25" style="190" customWidth="1"/>
    <col min="14" max="14" width="13.25" style="190" customWidth="1"/>
    <col min="15" max="15" width="13.25" style="147" customWidth="1"/>
    <col min="16" max="16" width="14.25" style="147" customWidth="1"/>
    <col min="17" max="17" width="12.375" style="147" customWidth="1"/>
    <col min="18" max="19" width="12.375" style="107" customWidth="1"/>
    <col min="20" max="20" width="9" style="107"/>
  </cols>
  <sheetData>
    <row r="1" spans="1:19" s="195" customFormat="1" x14ac:dyDescent="0.25">
      <c r="H1" s="195" t="s">
        <v>75</v>
      </c>
    </row>
    <row r="2" spans="1:19" s="195" customFormat="1" ht="16.5" thickBot="1" x14ac:dyDescent="0.3">
      <c r="A2" s="195" t="s">
        <v>74</v>
      </c>
    </row>
    <row r="3" spans="1:19" ht="81" customHeight="1" thickTop="1" thickBot="1" x14ac:dyDescent="0.3">
      <c r="A3" s="14" t="s">
        <v>73</v>
      </c>
      <c r="B3" s="60" t="s">
        <v>0</v>
      </c>
      <c r="C3" s="60" t="s">
        <v>56</v>
      </c>
      <c r="D3" s="60" t="s">
        <v>57</v>
      </c>
      <c r="E3" s="62" t="s">
        <v>58</v>
      </c>
      <c r="F3" s="168" t="s">
        <v>63</v>
      </c>
      <c r="G3" s="169" t="s">
        <v>64</v>
      </c>
      <c r="H3" s="170" t="s">
        <v>65</v>
      </c>
      <c r="I3" s="171" t="s">
        <v>60</v>
      </c>
      <c r="J3" s="172" t="s">
        <v>61</v>
      </c>
      <c r="K3" s="173" t="s">
        <v>62</v>
      </c>
      <c r="L3" s="174" t="s">
        <v>66</v>
      </c>
      <c r="M3" s="175" t="s">
        <v>67</v>
      </c>
      <c r="N3" s="176" t="s">
        <v>68</v>
      </c>
      <c r="O3" s="73" t="s">
        <v>69</v>
      </c>
      <c r="P3" s="61" t="s">
        <v>70</v>
      </c>
      <c r="Q3" s="62" t="s">
        <v>71</v>
      </c>
      <c r="R3" s="114"/>
    </row>
    <row r="4" spans="1:19" ht="16.5" thickTop="1" x14ac:dyDescent="0.25">
      <c r="A4" s="15" t="s">
        <v>47</v>
      </c>
      <c r="B4" s="16" t="s">
        <v>1</v>
      </c>
      <c r="C4" s="54">
        <v>1300000</v>
      </c>
      <c r="D4" s="54">
        <v>1130000</v>
      </c>
      <c r="E4" s="116">
        <f>C4+D4</f>
        <v>2430000</v>
      </c>
      <c r="F4" s="40">
        <v>834993.79</v>
      </c>
      <c r="G4" s="40">
        <v>671122.92</v>
      </c>
      <c r="H4" s="68">
        <f>F4+G4</f>
        <v>1506116.71</v>
      </c>
      <c r="I4" s="101">
        <f>C4-F4</f>
        <v>465006.20999999996</v>
      </c>
      <c r="J4" s="102">
        <f>D4-G4</f>
        <v>458877.07999999996</v>
      </c>
      <c r="K4" s="67">
        <f>I4+J4</f>
        <v>923883.28999999992</v>
      </c>
      <c r="L4" s="40">
        <f>F4+497084-6000-163000</f>
        <v>1163077.79</v>
      </c>
      <c r="M4" s="40">
        <f>G4+412724+6000+163000</f>
        <v>1252846.92</v>
      </c>
      <c r="N4" s="68">
        <f>L4+M4</f>
        <v>2415924.71</v>
      </c>
      <c r="O4" s="54">
        <v>1310000</v>
      </c>
      <c r="P4" s="54">
        <v>1290000</v>
      </c>
      <c r="Q4" s="116">
        <f>O4+P4</f>
        <v>2600000</v>
      </c>
      <c r="R4" s="108"/>
      <c r="S4" s="109"/>
    </row>
    <row r="5" spans="1:19" x14ac:dyDescent="0.25">
      <c r="A5" s="1" t="s">
        <v>2</v>
      </c>
      <c r="B5" s="17" t="s">
        <v>3</v>
      </c>
      <c r="C5" s="52">
        <v>27000</v>
      </c>
      <c r="D5" s="52">
        <v>26000</v>
      </c>
      <c r="E5" s="117">
        <f t="shared" ref="E5:E43" si="0">C5+D5</f>
        <v>53000</v>
      </c>
      <c r="F5" s="177">
        <v>21249.53</v>
      </c>
      <c r="G5" s="65">
        <v>15414.34</v>
      </c>
      <c r="H5" s="64">
        <f>F5+G5</f>
        <v>36663.869999999995</v>
      </c>
      <c r="I5" s="96">
        <f>C5-F5</f>
        <v>5750.4700000000012</v>
      </c>
      <c r="J5" s="97">
        <f>D5-G5</f>
        <v>10585.66</v>
      </c>
      <c r="K5" s="64">
        <f>I5+J5</f>
        <v>16336.130000000001</v>
      </c>
      <c r="L5" s="38">
        <v>32000</v>
      </c>
      <c r="M5" s="39">
        <v>23000</v>
      </c>
      <c r="N5" s="64">
        <f>L5+M5</f>
        <v>55000</v>
      </c>
      <c r="O5" s="136">
        <v>36000</v>
      </c>
      <c r="P5" s="148">
        <v>27000</v>
      </c>
      <c r="Q5" s="160">
        <f t="shared" ref="Q5:Q20" si="1">O5+P5</f>
        <v>63000</v>
      </c>
      <c r="R5" s="108"/>
    </row>
    <row r="6" spans="1:19" x14ac:dyDescent="0.25">
      <c r="A6" s="1" t="s">
        <v>4</v>
      </c>
      <c r="B6" s="17" t="s">
        <v>5</v>
      </c>
      <c r="C6" s="52">
        <v>38000</v>
      </c>
      <c r="D6" s="52">
        <v>10000</v>
      </c>
      <c r="E6" s="117">
        <f t="shared" si="0"/>
        <v>48000</v>
      </c>
      <c r="F6" s="74">
        <v>6598.31</v>
      </c>
      <c r="G6" s="65">
        <v>5790.97</v>
      </c>
      <c r="H6" s="64">
        <f t="shared" ref="H6:H43" si="2">F6+G6</f>
        <v>12389.28</v>
      </c>
      <c r="I6" s="96">
        <f t="shared" ref="I6:I7" si="3">C6-F6</f>
        <v>31401.69</v>
      </c>
      <c r="J6" s="97">
        <f t="shared" ref="J6:J7" si="4">D6-G6</f>
        <v>4209.03</v>
      </c>
      <c r="K6" s="64">
        <f t="shared" ref="K6:K7" si="5">I6+J6</f>
        <v>35610.720000000001</v>
      </c>
      <c r="L6" s="38">
        <v>8000</v>
      </c>
      <c r="M6" s="39">
        <v>7000</v>
      </c>
      <c r="N6" s="64">
        <f>L6+M6</f>
        <v>15000</v>
      </c>
      <c r="O6" s="136">
        <f>50000+18000</f>
        <v>68000</v>
      </c>
      <c r="P6" s="148">
        <f>20000+2000</f>
        <v>22000</v>
      </c>
      <c r="Q6" s="160">
        <f t="shared" si="1"/>
        <v>90000</v>
      </c>
      <c r="R6" s="108"/>
    </row>
    <row r="7" spans="1:19" x14ac:dyDescent="0.25">
      <c r="A7" s="1" t="s">
        <v>6</v>
      </c>
      <c r="B7" s="17" t="s">
        <v>7</v>
      </c>
      <c r="C7" s="52"/>
      <c r="D7" s="52"/>
      <c r="E7" s="117">
        <f t="shared" si="0"/>
        <v>0</v>
      </c>
      <c r="F7" s="178">
        <v>3954.96</v>
      </c>
      <c r="G7" s="179">
        <v>4901.62</v>
      </c>
      <c r="H7" s="86">
        <f t="shared" si="2"/>
        <v>8856.58</v>
      </c>
      <c r="I7" s="96">
        <f t="shared" si="3"/>
        <v>-3954.96</v>
      </c>
      <c r="J7" s="97">
        <f t="shared" si="4"/>
        <v>-4901.62</v>
      </c>
      <c r="K7" s="64">
        <f t="shared" si="5"/>
        <v>-8856.58</v>
      </c>
      <c r="L7" s="38">
        <f>F7</f>
        <v>3954.96</v>
      </c>
      <c r="M7" s="39">
        <f>G7</f>
        <v>4901.62</v>
      </c>
      <c r="N7" s="64">
        <f t="shared" ref="N7:N43" si="6">L7+M7</f>
        <v>8856.58</v>
      </c>
      <c r="O7" s="136"/>
      <c r="P7" s="148"/>
      <c r="Q7" s="160">
        <f t="shared" si="1"/>
        <v>0</v>
      </c>
      <c r="R7" s="108"/>
    </row>
    <row r="8" spans="1:19" ht="16.5" thickBot="1" x14ac:dyDescent="0.3">
      <c r="A8" s="2" t="s">
        <v>45</v>
      </c>
      <c r="B8" s="18" t="s">
        <v>8</v>
      </c>
      <c r="C8" s="63">
        <v>255000</v>
      </c>
      <c r="D8" s="63">
        <v>221000</v>
      </c>
      <c r="E8" s="118">
        <f>C8+D8</f>
        <v>476000</v>
      </c>
      <c r="F8" s="180">
        <f>100986.56+40350.2+21889.38</f>
        <v>163226.14000000001</v>
      </c>
      <c r="G8" s="181">
        <f>80517.59+33975.66+16966.63</f>
        <v>131459.88</v>
      </c>
      <c r="H8" s="87">
        <f t="shared" si="2"/>
        <v>294686.02</v>
      </c>
      <c r="I8" s="182">
        <f t="shared" ref="I8:J11" si="7">C8-F8</f>
        <v>91773.859999999986</v>
      </c>
      <c r="J8" s="183">
        <f t="shared" si="7"/>
        <v>89540.12</v>
      </c>
      <c r="K8" s="184">
        <f>I8+J8</f>
        <v>181313.97999999998</v>
      </c>
      <c r="L8" s="185">
        <f>F8+97527.88-32000</f>
        <v>228754.02000000002</v>
      </c>
      <c r="M8" s="186">
        <f>G8+80976.45-32000</f>
        <v>180436.33000000002</v>
      </c>
      <c r="N8" s="184">
        <f t="shared" si="6"/>
        <v>409190.35000000003</v>
      </c>
      <c r="O8" s="137">
        <v>257000</v>
      </c>
      <c r="P8" s="149">
        <v>253000</v>
      </c>
      <c r="Q8" s="161">
        <f t="shared" si="1"/>
        <v>510000</v>
      </c>
      <c r="R8" s="108"/>
    </row>
    <row r="9" spans="1:19" ht="17.25" thickTop="1" thickBot="1" x14ac:dyDescent="0.3">
      <c r="A9" s="19" t="s">
        <v>9</v>
      </c>
      <c r="B9" s="27" t="s">
        <v>10</v>
      </c>
      <c r="C9" s="82"/>
      <c r="D9" s="119"/>
      <c r="E9" s="120"/>
      <c r="F9" s="98"/>
      <c r="G9" s="194">
        <v>3818.4</v>
      </c>
      <c r="H9" s="104">
        <f t="shared" si="2"/>
        <v>3818.4</v>
      </c>
      <c r="I9" s="99">
        <f t="shared" si="7"/>
        <v>0</v>
      </c>
      <c r="J9" s="100">
        <f t="shared" si="7"/>
        <v>-3818.4</v>
      </c>
      <c r="K9" s="72">
        <f>I9+J9</f>
        <v>-3818.4</v>
      </c>
      <c r="L9" s="110"/>
      <c r="M9" s="44">
        <f>G9</f>
        <v>3818.4</v>
      </c>
      <c r="N9" s="72">
        <f t="shared" si="6"/>
        <v>3818.4</v>
      </c>
      <c r="O9" s="138">
        <v>56000</v>
      </c>
      <c r="P9" s="150">
        <v>44000</v>
      </c>
      <c r="Q9" s="162">
        <f t="shared" si="1"/>
        <v>100000</v>
      </c>
      <c r="R9" s="108"/>
    </row>
    <row r="10" spans="1:19" ht="16.5" thickTop="1" x14ac:dyDescent="0.25">
      <c r="A10" s="15" t="s">
        <v>55</v>
      </c>
      <c r="B10" s="16" t="s">
        <v>11</v>
      </c>
      <c r="C10" s="51"/>
      <c r="D10" s="54">
        <v>250200</v>
      </c>
      <c r="E10" s="121">
        <f t="shared" si="0"/>
        <v>250200</v>
      </c>
      <c r="F10" s="43"/>
      <c r="G10" s="43">
        <v>271878.55</v>
      </c>
      <c r="H10" s="43">
        <f t="shared" si="2"/>
        <v>271878.55</v>
      </c>
      <c r="I10" s="101">
        <f t="shared" si="7"/>
        <v>0</v>
      </c>
      <c r="J10" s="102">
        <f t="shared" si="7"/>
        <v>-21678.549999999988</v>
      </c>
      <c r="K10" s="67">
        <f>I10+J10</f>
        <v>-21678.549999999988</v>
      </c>
      <c r="L10" s="83"/>
      <c r="M10" s="43">
        <f>G10+30000</f>
        <v>301878.55</v>
      </c>
      <c r="N10" s="67">
        <f t="shared" si="6"/>
        <v>301878.55</v>
      </c>
      <c r="O10" s="139"/>
      <c r="P10" s="151">
        <v>250200</v>
      </c>
      <c r="Q10" s="163">
        <f t="shared" si="1"/>
        <v>250200</v>
      </c>
      <c r="R10" s="108"/>
    </row>
    <row r="11" spans="1:19" x14ac:dyDescent="0.25">
      <c r="A11" s="3" t="s">
        <v>12</v>
      </c>
      <c r="B11" s="17" t="s">
        <v>11</v>
      </c>
      <c r="C11" s="52">
        <v>10000</v>
      </c>
      <c r="D11" s="52">
        <v>10000</v>
      </c>
      <c r="E11" s="122">
        <f t="shared" si="0"/>
        <v>20000</v>
      </c>
      <c r="F11" s="39">
        <f>2069.65+81</f>
        <v>2150.65</v>
      </c>
      <c r="G11" s="39">
        <v>11415.9</v>
      </c>
      <c r="H11" s="39">
        <f t="shared" si="2"/>
        <v>13566.55</v>
      </c>
      <c r="I11" s="38">
        <f t="shared" si="7"/>
        <v>7849.35</v>
      </c>
      <c r="J11" s="39">
        <f t="shared" si="7"/>
        <v>-1415.8999999999996</v>
      </c>
      <c r="K11" s="64">
        <f t="shared" ref="K11:K20" si="8">I11+J11</f>
        <v>6433.4500000000007</v>
      </c>
      <c r="L11" s="38">
        <f>F11+1000</f>
        <v>3150.65</v>
      </c>
      <c r="M11" s="39">
        <f>G11+2500</f>
        <v>13915.9</v>
      </c>
      <c r="N11" s="64">
        <f t="shared" si="6"/>
        <v>17066.55</v>
      </c>
      <c r="O11" s="136">
        <v>10000</v>
      </c>
      <c r="P11" s="152">
        <v>10000</v>
      </c>
      <c r="Q11" s="160">
        <f t="shared" si="1"/>
        <v>20000</v>
      </c>
      <c r="R11" s="108"/>
    </row>
    <row r="12" spans="1:19" x14ac:dyDescent="0.25">
      <c r="A12" s="3" t="s">
        <v>13</v>
      </c>
      <c r="B12" s="17" t="s">
        <v>11</v>
      </c>
      <c r="C12" s="52">
        <v>5000</v>
      </c>
      <c r="D12" s="52">
        <v>5000</v>
      </c>
      <c r="E12" s="122">
        <f t="shared" si="0"/>
        <v>10000</v>
      </c>
      <c r="F12" s="39">
        <v>5797.19</v>
      </c>
      <c r="G12" s="39">
        <v>5192.1499999999996</v>
      </c>
      <c r="H12" s="39">
        <f t="shared" si="2"/>
        <v>10989.34</v>
      </c>
      <c r="I12" s="38">
        <f t="shared" ref="I12:I20" si="9">C12-F12</f>
        <v>-797.1899999999996</v>
      </c>
      <c r="J12" s="39">
        <f t="shared" ref="J12:J20" si="10">D12-G12</f>
        <v>-192.14999999999964</v>
      </c>
      <c r="K12" s="64">
        <f t="shared" si="8"/>
        <v>-989.33999999999924</v>
      </c>
      <c r="L12" s="38">
        <f>F12+1500</f>
        <v>7297.19</v>
      </c>
      <c r="M12" s="39">
        <f>G12+1800</f>
        <v>6992.15</v>
      </c>
      <c r="N12" s="64">
        <f t="shared" si="6"/>
        <v>14289.34</v>
      </c>
      <c r="O12" s="136">
        <v>5000</v>
      </c>
      <c r="P12" s="152">
        <v>5000</v>
      </c>
      <c r="Q12" s="160">
        <f t="shared" si="1"/>
        <v>10000</v>
      </c>
      <c r="R12" s="108"/>
    </row>
    <row r="13" spans="1:19" x14ac:dyDescent="0.25">
      <c r="A13" s="3" t="s">
        <v>14</v>
      </c>
      <c r="B13" s="17" t="s">
        <v>11</v>
      </c>
      <c r="C13" s="52">
        <v>900</v>
      </c>
      <c r="D13" s="52">
        <v>2100</v>
      </c>
      <c r="E13" s="122">
        <f t="shared" si="0"/>
        <v>3000</v>
      </c>
      <c r="F13" s="39">
        <v>387.53</v>
      </c>
      <c r="G13" s="39">
        <v>1250.77</v>
      </c>
      <c r="H13" s="39">
        <f t="shared" si="2"/>
        <v>1638.3</v>
      </c>
      <c r="I13" s="38">
        <f t="shared" si="9"/>
        <v>512.47</v>
      </c>
      <c r="J13" s="39">
        <f t="shared" si="10"/>
        <v>849.23</v>
      </c>
      <c r="K13" s="64">
        <f t="shared" si="8"/>
        <v>1361.7</v>
      </c>
      <c r="L13" s="38">
        <f>F13+800</f>
        <v>1187.53</v>
      </c>
      <c r="M13" s="39">
        <f>G13+1400</f>
        <v>2650.77</v>
      </c>
      <c r="N13" s="64">
        <f t="shared" si="6"/>
        <v>3838.3</v>
      </c>
      <c r="O13" s="136">
        <v>900</v>
      </c>
      <c r="P13" s="152">
        <v>2100</v>
      </c>
      <c r="Q13" s="160">
        <f t="shared" si="1"/>
        <v>3000</v>
      </c>
      <c r="R13" s="115"/>
    </row>
    <row r="14" spans="1:19" x14ac:dyDescent="0.25">
      <c r="A14" s="3" t="s">
        <v>15</v>
      </c>
      <c r="B14" s="17" t="s">
        <v>11</v>
      </c>
      <c r="C14" s="52"/>
      <c r="D14" s="52">
        <v>3500</v>
      </c>
      <c r="E14" s="122">
        <f t="shared" si="0"/>
        <v>3500</v>
      </c>
      <c r="F14" s="39"/>
      <c r="G14" s="39">
        <f>2099.85</f>
        <v>2099.85</v>
      </c>
      <c r="H14" s="39">
        <f t="shared" si="2"/>
        <v>2099.85</v>
      </c>
      <c r="I14" s="38">
        <f t="shared" si="9"/>
        <v>0</v>
      </c>
      <c r="J14" s="39">
        <f t="shared" si="10"/>
        <v>1400.15</v>
      </c>
      <c r="K14" s="64">
        <f t="shared" si="8"/>
        <v>1400.15</v>
      </c>
      <c r="L14" s="38"/>
      <c r="M14" s="39">
        <f>G14+3500</f>
        <v>5599.85</v>
      </c>
      <c r="N14" s="64">
        <f t="shared" si="6"/>
        <v>5599.85</v>
      </c>
      <c r="O14" s="136"/>
      <c r="P14" s="153">
        <v>3500</v>
      </c>
      <c r="Q14" s="160">
        <f t="shared" si="1"/>
        <v>3500</v>
      </c>
      <c r="R14" s="108"/>
      <c r="S14" s="109"/>
    </row>
    <row r="15" spans="1:19" x14ac:dyDescent="0.25">
      <c r="A15" s="3" t="s">
        <v>16</v>
      </c>
      <c r="B15" s="17" t="s">
        <v>11</v>
      </c>
      <c r="C15" s="52">
        <v>15000</v>
      </c>
      <c r="D15" s="52">
        <v>10000</v>
      </c>
      <c r="E15" s="122">
        <f t="shared" si="0"/>
        <v>25000</v>
      </c>
      <c r="F15" s="39">
        <f>14477.23</f>
        <v>14477.23</v>
      </c>
      <c r="G15" s="39">
        <f>8354.21</f>
        <v>8354.2099999999991</v>
      </c>
      <c r="H15" s="39">
        <f t="shared" si="2"/>
        <v>22831.439999999999</v>
      </c>
      <c r="I15" s="38">
        <f t="shared" si="9"/>
        <v>522.77000000000044</v>
      </c>
      <c r="J15" s="39">
        <f t="shared" si="10"/>
        <v>1645.7900000000009</v>
      </c>
      <c r="K15" s="64">
        <f t="shared" si="8"/>
        <v>2168.5600000000013</v>
      </c>
      <c r="L15" s="38">
        <f>F15+2000</f>
        <v>16477.23</v>
      </c>
      <c r="M15" s="39">
        <f>G15+2400</f>
        <v>10754.21</v>
      </c>
      <c r="N15" s="64">
        <f t="shared" si="6"/>
        <v>27231.439999999999</v>
      </c>
      <c r="O15" s="136">
        <v>15000</v>
      </c>
      <c r="P15" s="153">
        <v>10000</v>
      </c>
      <c r="Q15" s="160">
        <f t="shared" si="1"/>
        <v>25000</v>
      </c>
      <c r="R15" s="108"/>
    </row>
    <row r="16" spans="1:19" x14ac:dyDescent="0.25">
      <c r="A16" s="3" t="s">
        <v>17</v>
      </c>
      <c r="B16" s="17" t="s">
        <v>11</v>
      </c>
      <c r="C16" s="52">
        <v>4000</v>
      </c>
      <c r="D16" s="52">
        <v>2000</v>
      </c>
      <c r="E16" s="122">
        <f t="shared" si="0"/>
        <v>6000</v>
      </c>
      <c r="F16" s="39">
        <f>8978.68+6978.62</f>
        <v>15957.3</v>
      </c>
      <c r="G16" s="39">
        <f>1726.65+4300.19</f>
        <v>6026.84</v>
      </c>
      <c r="H16" s="39">
        <f t="shared" si="2"/>
        <v>21984.14</v>
      </c>
      <c r="I16" s="38">
        <f t="shared" si="9"/>
        <v>-11957.3</v>
      </c>
      <c r="J16" s="39">
        <f t="shared" si="10"/>
        <v>-4026.84</v>
      </c>
      <c r="K16" s="64">
        <f t="shared" si="8"/>
        <v>-15984.14</v>
      </c>
      <c r="L16" s="38">
        <f>F16+1200</f>
        <v>17157.3</v>
      </c>
      <c r="M16" s="39">
        <f>G16+1500</f>
        <v>7526.84</v>
      </c>
      <c r="N16" s="64">
        <f t="shared" si="6"/>
        <v>24684.14</v>
      </c>
      <c r="O16" s="136">
        <v>4000</v>
      </c>
      <c r="P16" s="153">
        <v>2000</v>
      </c>
      <c r="Q16" s="160">
        <f t="shared" si="1"/>
        <v>6000</v>
      </c>
      <c r="R16" s="108"/>
    </row>
    <row r="17" spans="1:18" x14ac:dyDescent="0.25">
      <c r="A17" s="3" t="s">
        <v>18</v>
      </c>
      <c r="B17" s="17" t="s">
        <v>11</v>
      </c>
      <c r="C17" s="52"/>
      <c r="D17" s="52">
        <v>5000</v>
      </c>
      <c r="E17" s="122">
        <f t="shared" si="0"/>
        <v>5000</v>
      </c>
      <c r="F17" s="39"/>
      <c r="G17" s="39">
        <v>6420</v>
      </c>
      <c r="H17" s="39">
        <f t="shared" si="2"/>
        <v>6420</v>
      </c>
      <c r="I17" s="38">
        <f t="shared" si="9"/>
        <v>0</v>
      </c>
      <c r="J17" s="39">
        <f t="shared" si="10"/>
        <v>-1420</v>
      </c>
      <c r="K17" s="64">
        <f t="shared" si="8"/>
        <v>-1420</v>
      </c>
      <c r="L17" s="38"/>
      <c r="M17" s="39">
        <f>G17+2000</f>
        <v>8420</v>
      </c>
      <c r="N17" s="64">
        <f t="shared" si="6"/>
        <v>8420</v>
      </c>
      <c r="O17" s="136"/>
      <c r="P17" s="153">
        <v>5000</v>
      </c>
      <c r="Q17" s="160">
        <f t="shared" si="1"/>
        <v>5000</v>
      </c>
      <c r="R17" s="108"/>
    </row>
    <row r="18" spans="1:18" x14ac:dyDescent="0.25">
      <c r="A18" s="3" t="s">
        <v>19</v>
      </c>
      <c r="B18" s="17" t="s">
        <v>11</v>
      </c>
      <c r="C18" s="52">
        <v>1300</v>
      </c>
      <c r="D18" s="52">
        <v>1200</v>
      </c>
      <c r="E18" s="122">
        <f t="shared" si="0"/>
        <v>2500</v>
      </c>
      <c r="F18" s="39">
        <v>469.28</v>
      </c>
      <c r="G18" s="39">
        <v>337.5</v>
      </c>
      <c r="H18" s="39">
        <f t="shared" si="2"/>
        <v>806.78</v>
      </c>
      <c r="I18" s="38">
        <f t="shared" si="9"/>
        <v>830.72</v>
      </c>
      <c r="J18" s="39">
        <f t="shared" si="10"/>
        <v>862.5</v>
      </c>
      <c r="K18" s="64">
        <f t="shared" si="8"/>
        <v>1693.22</v>
      </c>
      <c r="L18" s="38">
        <f>1300</f>
        <v>1300</v>
      </c>
      <c r="M18" s="39">
        <v>1000</v>
      </c>
      <c r="N18" s="64">
        <f t="shared" si="6"/>
        <v>2300</v>
      </c>
      <c r="O18" s="136">
        <v>1300</v>
      </c>
      <c r="P18" s="153">
        <v>1200</v>
      </c>
      <c r="Q18" s="160">
        <f t="shared" si="1"/>
        <v>2500</v>
      </c>
      <c r="R18" s="108"/>
    </row>
    <row r="19" spans="1:18" x14ac:dyDescent="0.25">
      <c r="A19" s="12" t="s">
        <v>48</v>
      </c>
      <c r="B19" s="17" t="s">
        <v>11</v>
      </c>
      <c r="C19" s="52">
        <v>135000</v>
      </c>
      <c r="D19" s="52"/>
      <c r="E19" s="122">
        <f t="shared" si="0"/>
        <v>135000</v>
      </c>
      <c r="F19" s="39">
        <v>127800</v>
      </c>
      <c r="G19" s="39"/>
      <c r="H19" s="39">
        <f t="shared" si="2"/>
        <v>127800</v>
      </c>
      <c r="I19" s="38">
        <f t="shared" si="9"/>
        <v>7200</v>
      </c>
      <c r="J19" s="39">
        <f t="shared" si="10"/>
        <v>0</v>
      </c>
      <c r="K19" s="64">
        <f t="shared" si="8"/>
        <v>7200</v>
      </c>
      <c r="L19" s="38">
        <f>F19</f>
        <v>127800</v>
      </c>
      <c r="M19" s="39"/>
      <c r="N19" s="64">
        <f t="shared" si="6"/>
        <v>127800</v>
      </c>
      <c r="O19" s="136">
        <v>135000</v>
      </c>
      <c r="P19" s="153"/>
      <c r="Q19" s="160">
        <f t="shared" si="1"/>
        <v>135000</v>
      </c>
      <c r="R19" s="108"/>
    </row>
    <row r="20" spans="1:18" x14ac:dyDescent="0.25">
      <c r="A20" s="3" t="s">
        <v>20</v>
      </c>
      <c r="B20" s="17" t="s">
        <v>11</v>
      </c>
      <c r="C20" s="52">
        <v>1000</v>
      </c>
      <c r="D20" s="52">
        <v>1000</v>
      </c>
      <c r="E20" s="122">
        <f t="shared" si="0"/>
        <v>2000</v>
      </c>
      <c r="F20" s="187">
        <f>103.44+623.91+261.96</f>
        <v>989.31</v>
      </c>
      <c r="G20" s="39">
        <f>82.76+599.45</f>
        <v>682.21</v>
      </c>
      <c r="H20" s="64">
        <f t="shared" si="2"/>
        <v>1671.52</v>
      </c>
      <c r="I20" s="38">
        <f t="shared" si="9"/>
        <v>10.690000000000055</v>
      </c>
      <c r="J20" s="39">
        <f t="shared" si="10"/>
        <v>317.78999999999996</v>
      </c>
      <c r="K20" s="64">
        <f t="shared" si="8"/>
        <v>328.48</v>
      </c>
      <c r="L20" s="38">
        <f>F20</f>
        <v>989.31</v>
      </c>
      <c r="M20" s="39">
        <f>G20</f>
        <v>682.21</v>
      </c>
      <c r="N20" s="64">
        <f t="shared" si="6"/>
        <v>1671.52</v>
      </c>
      <c r="O20" s="136">
        <v>1000</v>
      </c>
      <c r="P20" s="153">
        <v>1000</v>
      </c>
      <c r="Q20" s="160">
        <f t="shared" si="1"/>
        <v>2000</v>
      </c>
      <c r="R20" s="108"/>
    </row>
    <row r="21" spans="1:18" ht="16.5" thickBot="1" x14ac:dyDescent="0.3">
      <c r="A21" s="4" t="s">
        <v>21</v>
      </c>
      <c r="B21" s="18"/>
      <c r="C21" s="123">
        <f>SUM(C10:C20)</f>
        <v>172200</v>
      </c>
      <c r="D21" s="55">
        <f>SUM(D10:D20)</f>
        <v>290000</v>
      </c>
      <c r="E21" s="124">
        <f t="shared" si="0"/>
        <v>462200</v>
      </c>
      <c r="F21" s="188">
        <f>SUM(F10:F20)</f>
        <v>168028.49</v>
      </c>
      <c r="G21" s="189">
        <f>SUM(G10:G20)</f>
        <v>313657.9800000001</v>
      </c>
      <c r="H21" s="58">
        <f t="shared" si="2"/>
        <v>481686.47000000009</v>
      </c>
      <c r="I21" s="34">
        <f t="shared" ref="I21:K21" si="11">SUM(I10:I20)</f>
        <v>4171.510000000002</v>
      </c>
      <c r="J21" s="35">
        <f t="shared" si="11"/>
        <v>-23657.979999999989</v>
      </c>
      <c r="K21" s="78">
        <f t="shared" si="11"/>
        <v>-19486.469999999983</v>
      </c>
      <c r="L21" s="34">
        <f t="shared" ref="L21:Q21" si="12">SUM(L10:L20)</f>
        <v>175359.21</v>
      </c>
      <c r="M21" s="35">
        <f t="shared" si="12"/>
        <v>359420.4800000001</v>
      </c>
      <c r="N21" s="78">
        <f t="shared" si="12"/>
        <v>534779.68999999994</v>
      </c>
      <c r="O21" s="140">
        <f t="shared" si="12"/>
        <v>172200</v>
      </c>
      <c r="P21" s="154">
        <f t="shared" si="12"/>
        <v>290000</v>
      </c>
      <c r="Q21" s="164">
        <f t="shared" si="12"/>
        <v>462200</v>
      </c>
      <c r="R21" s="108"/>
    </row>
    <row r="22" spans="1:18" ht="16.5" thickTop="1" x14ac:dyDescent="0.25">
      <c r="A22" s="29" t="s">
        <v>22</v>
      </c>
      <c r="B22" s="26" t="s">
        <v>23</v>
      </c>
      <c r="C22" s="54">
        <v>2200</v>
      </c>
      <c r="D22" s="54">
        <v>1300</v>
      </c>
      <c r="E22" s="125">
        <f t="shared" si="0"/>
        <v>3500</v>
      </c>
      <c r="F22" s="80">
        <v>2273.92</v>
      </c>
      <c r="G22" s="81">
        <v>592.38</v>
      </c>
      <c r="H22" s="67">
        <f t="shared" si="2"/>
        <v>2866.3</v>
      </c>
      <c r="I22" s="84">
        <f t="shared" ref="I22:J25" si="13">C22-F22</f>
        <v>-73.920000000000073</v>
      </c>
      <c r="J22" s="40">
        <f t="shared" si="13"/>
        <v>707.62</v>
      </c>
      <c r="K22" s="68">
        <f>I22+J22</f>
        <v>633.69999999999993</v>
      </c>
      <c r="L22" s="84">
        <f>F22+600</f>
        <v>2873.92</v>
      </c>
      <c r="M22" s="40">
        <f>G22+165.1</f>
        <v>757.48</v>
      </c>
      <c r="N22" s="68">
        <f t="shared" si="6"/>
        <v>3631.4</v>
      </c>
      <c r="O22" s="141">
        <v>2200</v>
      </c>
      <c r="P22" s="155">
        <v>1300</v>
      </c>
      <c r="Q22" s="165">
        <f>O22+P22</f>
        <v>3500</v>
      </c>
      <c r="R22" s="108"/>
    </row>
    <row r="23" spans="1:18" x14ac:dyDescent="0.25">
      <c r="A23" s="1" t="s">
        <v>24</v>
      </c>
      <c r="B23" s="17" t="s">
        <v>23</v>
      </c>
      <c r="C23" s="52">
        <v>10500</v>
      </c>
      <c r="D23" s="52">
        <v>10000</v>
      </c>
      <c r="E23" s="117">
        <f t="shared" si="0"/>
        <v>20500</v>
      </c>
      <c r="F23" s="75">
        <v>11740.92</v>
      </c>
      <c r="G23" s="66">
        <v>9392.7199999999993</v>
      </c>
      <c r="H23" s="64">
        <f t="shared" si="2"/>
        <v>21133.64</v>
      </c>
      <c r="I23" s="38">
        <f t="shared" si="13"/>
        <v>-1240.92</v>
      </c>
      <c r="J23" s="39">
        <f t="shared" si="13"/>
        <v>607.28000000000065</v>
      </c>
      <c r="K23" s="64">
        <f>I23+J23</f>
        <v>-633.63999999999942</v>
      </c>
      <c r="L23" s="38">
        <f>F23+3237.13</f>
        <v>14978.05</v>
      </c>
      <c r="M23" s="39">
        <f>G23+2589.71</f>
        <v>11982.43</v>
      </c>
      <c r="N23" s="64">
        <f t="shared" si="6"/>
        <v>26960.48</v>
      </c>
      <c r="O23" s="136">
        <v>10500</v>
      </c>
      <c r="P23" s="153">
        <v>10000</v>
      </c>
      <c r="Q23" s="160">
        <f>O23+P23</f>
        <v>20500</v>
      </c>
      <c r="R23" s="108"/>
    </row>
    <row r="24" spans="1:18" x14ac:dyDescent="0.25">
      <c r="A24" s="1" t="s">
        <v>25</v>
      </c>
      <c r="B24" s="17" t="s">
        <v>23</v>
      </c>
      <c r="C24" s="52">
        <v>178500</v>
      </c>
      <c r="D24" s="52">
        <v>171500</v>
      </c>
      <c r="E24" s="117">
        <f t="shared" si="0"/>
        <v>350000</v>
      </c>
      <c r="F24" s="38">
        <v>191168.82</v>
      </c>
      <c r="G24" s="39">
        <v>46866.43</v>
      </c>
      <c r="H24" s="64">
        <f t="shared" si="2"/>
        <v>238035.25</v>
      </c>
      <c r="I24" s="38">
        <f t="shared" si="13"/>
        <v>-12668.820000000007</v>
      </c>
      <c r="J24" s="39">
        <f t="shared" si="13"/>
        <v>124633.57</v>
      </c>
      <c r="K24" s="64">
        <f>I24+J24</f>
        <v>111964.75</v>
      </c>
      <c r="L24" s="38">
        <f>F24+86000-4000-27000</f>
        <v>246168.82</v>
      </c>
      <c r="M24" s="39">
        <f>G24+25000+4000+27000</f>
        <v>102866.43</v>
      </c>
      <c r="N24" s="64">
        <f t="shared" si="6"/>
        <v>349035.25</v>
      </c>
      <c r="O24" s="136">
        <v>178500</v>
      </c>
      <c r="P24" s="153">
        <v>171500</v>
      </c>
      <c r="Q24" s="160">
        <f>O24+P24</f>
        <v>350000</v>
      </c>
      <c r="R24" s="108"/>
    </row>
    <row r="25" spans="1:18" x14ac:dyDescent="0.25">
      <c r="A25" s="106" t="s">
        <v>59</v>
      </c>
      <c r="B25" s="20" t="s">
        <v>23</v>
      </c>
      <c r="C25" s="52">
        <v>23200</v>
      </c>
      <c r="D25" s="52">
        <v>4800</v>
      </c>
      <c r="E25" s="117">
        <f t="shared" si="0"/>
        <v>28000</v>
      </c>
      <c r="F25" s="185">
        <v>10984.3</v>
      </c>
      <c r="G25" s="186">
        <v>2112.37</v>
      </c>
      <c r="H25" s="64">
        <f t="shared" si="2"/>
        <v>13096.669999999998</v>
      </c>
      <c r="I25" s="38">
        <f t="shared" si="13"/>
        <v>12215.7</v>
      </c>
      <c r="J25" s="39">
        <f t="shared" si="13"/>
        <v>2687.63</v>
      </c>
      <c r="K25" s="64">
        <f>I25+J25</f>
        <v>14903.330000000002</v>
      </c>
      <c r="L25" s="38">
        <f>F25+14000</f>
        <v>24984.3</v>
      </c>
      <c r="M25" s="39">
        <f>G25+3000</f>
        <v>5112.37</v>
      </c>
      <c r="N25" s="64">
        <f t="shared" si="6"/>
        <v>30096.67</v>
      </c>
      <c r="O25" s="136">
        <v>23200</v>
      </c>
      <c r="P25" s="153">
        <v>4800</v>
      </c>
      <c r="Q25" s="160">
        <f>O25+P25</f>
        <v>28000</v>
      </c>
      <c r="R25" s="108"/>
    </row>
    <row r="26" spans="1:18" ht="16.5" thickBot="1" x14ac:dyDescent="0.3">
      <c r="A26" s="70" t="s">
        <v>26</v>
      </c>
      <c r="B26" s="20"/>
      <c r="C26" s="55">
        <f>SUM(C22:C25)</f>
        <v>214400</v>
      </c>
      <c r="D26" s="55">
        <f>SUM(D22:D25)</f>
        <v>187600</v>
      </c>
      <c r="E26" s="126">
        <f t="shared" ref="E26:K26" si="14">SUM(E22:E25)</f>
        <v>402000</v>
      </c>
      <c r="F26" s="34">
        <f t="shared" si="14"/>
        <v>216167.96</v>
      </c>
      <c r="G26" s="35">
        <f t="shared" si="14"/>
        <v>58963.9</v>
      </c>
      <c r="H26" s="78">
        <f t="shared" si="14"/>
        <v>275131.86</v>
      </c>
      <c r="I26" s="41">
        <f t="shared" si="14"/>
        <v>-1767.9600000000064</v>
      </c>
      <c r="J26" s="42">
        <f t="shared" si="14"/>
        <v>128636.1</v>
      </c>
      <c r="K26" s="58">
        <f t="shared" si="14"/>
        <v>126868.14</v>
      </c>
      <c r="L26" s="41">
        <f t="shared" ref="L26:Q26" si="15">SUM(L22:L25)</f>
        <v>289005.09000000003</v>
      </c>
      <c r="M26" s="42">
        <f t="shared" si="15"/>
        <v>120718.70999999999</v>
      </c>
      <c r="N26" s="58">
        <f t="shared" si="15"/>
        <v>409723.8</v>
      </c>
      <c r="O26" s="142">
        <f t="shared" si="15"/>
        <v>214400</v>
      </c>
      <c r="P26" s="156">
        <f t="shared" si="15"/>
        <v>187600</v>
      </c>
      <c r="Q26" s="166">
        <f t="shared" si="15"/>
        <v>402000</v>
      </c>
      <c r="R26" s="108"/>
    </row>
    <row r="27" spans="1:18" ht="16.5" thickTop="1" x14ac:dyDescent="0.25">
      <c r="A27" s="5" t="s">
        <v>27</v>
      </c>
      <c r="B27" s="16" t="s">
        <v>28</v>
      </c>
      <c r="C27" s="51">
        <v>73500</v>
      </c>
      <c r="D27" s="51">
        <v>71500</v>
      </c>
      <c r="E27" s="116">
        <f t="shared" si="0"/>
        <v>145000</v>
      </c>
      <c r="F27" s="76">
        <v>60021.55</v>
      </c>
      <c r="G27" s="71">
        <v>27788.84</v>
      </c>
      <c r="H27" s="68">
        <f t="shared" si="2"/>
        <v>87810.39</v>
      </c>
      <c r="I27" s="83">
        <f t="shared" ref="I27:J29" si="16">C27-F27</f>
        <v>13478.449999999997</v>
      </c>
      <c r="J27" s="43">
        <f t="shared" si="16"/>
        <v>43711.16</v>
      </c>
      <c r="K27" s="67">
        <f>I27+J27</f>
        <v>57189.61</v>
      </c>
      <c r="L27" s="83">
        <f>F27+10000</f>
        <v>70021.55</v>
      </c>
      <c r="M27" s="43">
        <f>G27+20000</f>
        <v>47788.84</v>
      </c>
      <c r="N27" s="67">
        <f t="shared" si="6"/>
        <v>117810.39</v>
      </c>
      <c r="O27" s="139">
        <v>73500</v>
      </c>
      <c r="P27" s="151">
        <v>71500</v>
      </c>
      <c r="Q27" s="163">
        <f>O27+P27</f>
        <v>145000</v>
      </c>
      <c r="R27" s="108"/>
    </row>
    <row r="28" spans="1:18" x14ac:dyDescent="0.25">
      <c r="A28" s="1" t="s">
        <v>29</v>
      </c>
      <c r="B28" s="17" t="s">
        <v>28</v>
      </c>
      <c r="C28" s="52">
        <v>1000</v>
      </c>
      <c r="D28" s="52">
        <v>1000</v>
      </c>
      <c r="E28" s="117">
        <f t="shared" si="0"/>
        <v>2000</v>
      </c>
      <c r="F28" s="75">
        <v>489.6</v>
      </c>
      <c r="G28" s="66">
        <v>324</v>
      </c>
      <c r="H28" s="64">
        <f t="shared" si="2"/>
        <v>813.6</v>
      </c>
      <c r="I28" s="38">
        <f t="shared" si="16"/>
        <v>510.4</v>
      </c>
      <c r="J28" s="39">
        <f t="shared" si="16"/>
        <v>676</v>
      </c>
      <c r="K28" s="64">
        <f>I28+J28</f>
        <v>1186.4000000000001</v>
      </c>
      <c r="L28" s="38">
        <f>F28</f>
        <v>489.6</v>
      </c>
      <c r="M28" s="39">
        <f>G28</f>
        <v>324</v>
      </c>
      <c r="N28" s="64">
        <f t="shared" si="6"/>
        <v>813.6</v>
      </c>
      <c r="O28" s="136">
        <v>1000</v>
      </c>
      <c r="P28" s="148">
        <v>1000</v>
      </c>
      <c r="Q28" s="160">
        <f>O28+P28</f>
        <v>2000</v>
      </c>
      <c r="R28" s="108"/>
    </row>
    <row r="29" spans="1:18" x14ac:dyDescent="0.25">
      <c r="A29" s="1" t="s">
        <v>30</v>
      </c>
      <c r="B29" s="17" t="s">
        <v>28</v>
      </c>
      <c r="C29" s="52">
        <v>6000</v>
      </c>
      <c r="D29" s="52">
        <v>4000</v>
      </c>
      <c r="E29" s="117">
        <f t="shared" si="0"/>
        <v>10000</v>
      </c>
      <c r="F29" s="75">
        <f>16798.53</f>
        <v>16798.53</v>
      </c>
      <c r="G29" s="39">
        <f>14149.8</f>
        <v>14149.8</v>
      </c>
      <c r="H29" s="64">
        <f t="shared" si="2"/>
        <v>30948.329999999998</v>
      </c>
      <c r="I29" s="38">
        <f t="shared" si="16"/>
        <v>-10798.529999999999</v>
      </c>
      <c r="J29" s="39">
        <f t="shared" si="16"/>
        <v>-10149.799999999999</v>
      </c>
      <c r="K29" s="64">
        <f t="shared" ref="K29:K35" si="17">I29+J29</f>
        <v>-20948.329999999998</v>
      </c>
      <c r="L29" s="38">
        <f>F29+4000</f>
        <v>20798.53</v>
      </c>
      <c r="M29" s="39">
        <f>G29+4000</f>
        <v>18149.8</v>
      </c>
      <c r="N29" s="64">
        <f t="shared" si="6"/>
        <v>38948.33</v>
      </c>
      <c r="O29" s="136">
        <v>6000</v>
      </c>
      <c r="P29" s="148">
        <v>4000</v>
      </c>
      <c r="Q29" s="160">
        <f t="shared" ref="Q29:Q35" si="18">O29+P29</f>
        <v>10000</v>
      </c>
      <c r="R29" s="108"/>
    </row>
    <row r="30" spans="1:18" x14ac:dyDescent="0.25">
      <c r="A30" s="1" t="s">
        <v>31</v>
      </c>
      <c r="B30" s="17" t="s">
        <v>28</v>
      </c>
      <c r="C30" s="52">
        <v>35700</v>
      </c>
      <c r="D30" s="52">
        <v>34300</v>
      </c>
      <c r="E30" s="117">
        <f t="shared" si="0"/>
        <v>70000</v>
      </c>
      <c r="F30" s="75">
        <v>25443.74</v>
      </c>
      <c r="G30" s="66">
        <v>24445.95</v>
      </c>
      <c r="H30" s="64">
        <f t="shared" si="2"/>
        <v>49889.69</v>
      </c>
      <c r="I30" s="38">
        <f t="shared" ref="I30:I35" si="19">C30-F30</f>
        <v>10256.259999999998</v>
      </c>
      <c r="J30" s="39">
        <f t="shared" ref="J30:J35" si="20">D30-G30</f>
        <v>9854.0499999999993</v>
      </c>
      <c r="K30" s="64">
        <f t="shared" si="17"/>
        <v>20110.309999999998</v>
      </c>
      <c r="L30" s="38">
        <v>35000</v>
      </c>
      <c r="M30" s="39">
        <v>34000</v>
      </c>
      <c r="N30" s="64">
        <f t="shared" si="6"/>
        <v>69000</v>
      </c>
      <c r="O30" s="143">
        <v>35700</v>
      </c>
      <c r="P30" s="148">
        <v>34300</v>
      </c>
      <c r="Q30" s="160">
        <f t="shared" si="18"/>
        <v>70000</v>
      </c>
      <c r="R30" s="108"/>
    </row>
    <row r="31" spans="1:18" x14ac:dyDescent="0.25">
      <c r="A31" s="1" t="s">
        <v>32</v>
      </c>
      <c r="B31" s="17" t="s">
        <v>28</v>
      </c>
      <c r="C31" s="52">
        <v>1800</v>
      </c>
      <c r="D31" s="52">
        <v>1200</v>
      </c>
      <c r="E31" s="117">
        <f t="shared" si="0"/>
        <v>3000</v>
      </c>
      <c r="F31" s="75">
        <v>1738.03</v>
      </c>
      <c r="G31" s="66">
        <v>1040.02</v>
      </c>
      <c r="H31" s="64">
        <f t="shared" si="2"/>
        <v>2778.05</v>
      </c>
      <c r="I31" s="38">
        <f t="shared" si="19"/>
        <v>61.970000000000027</v>
      </c>
      <c r="J31" s="39">
        <f t="shared" si="20"/>
        <v>159.98000000000002</v>
      </c>
      <c r="K31" s="64">
        <f t="shared" si="17"/>
        <v>221.95000000000005</v>
      </c>
      <c r="L31" s="38">
        <v>2400</v>
      </c>
      <c r="M31" s="39">
        <v>1430</v>
      </c>
      <c r="N31" s="64">
        <f t="shared" si="6"/>
        <v>3830</v>
      </c>
      <c r="O31" s="136">
        <v>1800</v>
      </c>
      <c r="P31" s="148">
        <v>1200</v>
      </c>
      <c r="Q31" s="160">
        <f t="shared" si="18"/>
        <v>3000</v>
      </c>
      <c r="R31" s="108"/>
    </row>
    <row r="32" spans="1:18" ht="47.25" x14ac:dyDescent="0.25">
      <c r="A32" s="28" t="s">
        <v>49</v>
      </c>
      <c r="B32" s="17" t="s">
        <v>28</v>
      </c>
      <c r="C32" s="52">
        <v>19200</v>
      </c>
      <c r="D32" s="52">
        <v>19600</v>
      </c>
      <c r="E32" s="117">
        <f>C32+D32</f>
        <v>38800</v>
      </c>
      <c r="F32" s="38">
        <f>7393.44+3201.91</f>
        <v>10595.349999999999</v>
      </c>
      <c r="G32" s="39">
        <f>6876.27+3742.96</f>
        <v>10619.23</v>
      </c>
      <c r="H32" s="64">
        <f t="shared" si="2"/>
        <v>21214.579999999998</v>
      </c>
      <c r="I32" s="38">
        <f t="shared" si="19"/>
        <v>8604.6500000000015</v>
      </c>
      <c r="J32" s="39">
        <f t="shared" si="20"/>
        <v>8980.77</v>
      </c>
      <c r="K32" s="64">
        <f t="shared" si="17"/>
        <v>17585.420000000002</v>
      </c>
      <c r="L32" s="38">
        <v>18000</v>
      </c>
      <c r="M32" s="39">
        <v>16000</v>
      </c>
      <c r="N32" s="64">
        <f t="shared" si="6"/>
        <v>34000</v>
      </c>
      <c r="O32" s="143">
        <v>19200</v>
      </c>
      <c r="P32" s="148">
        <v>19600</v>
      </c>
      <c r="Q32" s="160">
        <f t="shared" si="18"/>
        <v>38800</v>
      </c>
      <c r="R32" s="108"/>
    </row>
    <row r="33" spans="1:18" x14ac:dyDescent="0.25">
      <c r="A33" s="1" t="s">
        <v>50</v>
      </c>
      <c r="B33" s="17" t="s">
        <v>28</v>
      </c>
      <c r="C33" s="52">
        <v>6000</v>
      </c>
      <c r="D33" s="52">
        <v>19000</v>
      </c>
      <c r="E33" s="117">
        <f t="shared" si="0"/>
        <v>25000</v>
      </c>
      <c r="F33" s="75">
        <f>31887.67+1500</f>
        <v>33387.67</v>
      </c>
      <c r="G33" s="66">
        <f>22879.89+292.8+1000</f>
        <v>24172.69</v>
      </c>
      <c r="H33" s="64">
        <f t="shared" si="2"/>
        <v>57560.36</v>
      </c>
      <c r="I33" s="38">
        <f t="shared" si="19"/>
        <v>-27387.67</v>
      </c>
      <c r="J33" s="39">
        <f t="shared" si="20"/>
        <v>-5172.6899999999987</v>
      </c>
      <c r="K33" s="64">
        <f t="shared" si="17"/>
        <v>-32560.359999999997</v>
      </c>
      <c r="L33" s="38">
        <f>F33</f>
        <v>33387.67</v>
      </c>
      <c r="M33" s="39">
        <f>G33+10000</f>
        <v>34172.69</v>
      </c>
      <c r="N33" s="64">
        <f t="shared" si="6"/>
        <v>67560.36</v>
      </c>
      <c r="O33" s="143">
        <v>6000</v>
      </c>
      <c r="P33" s="148">
        <v>19000</v>
      </c>
      <c r="Q33" s="160">
        <f t="shared" si="18"/>
        <v>25000</v>
      </c>
      <c r="R33" s="108"/>
    </row>
    <row r="34" spans="1:18" x14ac:dyDescent="0.25">
      <c r="A34" s="1" t="s">
        <v>33</v>
      </c>
      <c r="B34" s="17" t="s">
        <v>28</v>
      </c>
      <c r="C34" s="52">
        <v>1200</v>
      </c>
      <c r="D34" s="52">
        <v>800</v>
      </c>
      <c r="E34" s="117">
        <f t="shared" si="0"/>
        <v>2000</v>
      </c>
      <c r="F34" s="38">
        <v>1631</v>
      </c>
      <c r="G34" s="39">
        <v>794.25</v>
      </c>
      <c r="H34" s="64">
        <f t="shared" si="2"/>
        <v>2425.25</v>
      </c>
      <c r="I34" s="38">
        <f t="shared" si="19"/>
        <v>-431</v>
      </c>
      <c r="J34" s="39">
        <f t="shared" si="20"/>
        <v>5.75</v>
      </c>
      <c r="K34" s="64">
        <f t="shared" si="17"/>
        <v>-425.25</v>
      </c>
      <c r="L34" s="38">
        <f>F34+200</f>
        <v>1831</v>
      </c>
      <c r="M34" s="39">
        <f>G34+1000</f>
        <v>1794.25</v>
      </c>
      <c r="N34" s="64">
        <f t="shared" si="6"/>
        <v>3625.25</v>
      </c>
      <c r="O34" s="136">
        <v>1200</v>
      </c>
      <c r="P34" s="148">
        <v>800</v>
      </c>
      <c r="Q34" s="160">
        <f t="shared" si="18"/>
        <v>2000</v>
      </c>
      <c r="R34" s="108"/>
    </row>
    <row r="35" spans="1:18" x14ac:dyDescent="0.25">
      <c r="A35" s="13" t="s">
        <v>46</v>
      </c>
      <c r="B35" s="17" t="s">
        <v>28</v>
      </c>
      <c r="C35" s="52">
        <v>1000</v>
      </c>
      <c r="D35" s="52">
        <v>2000</v>
      </c>
      <c r="E35" s="117">
        <f t="shared" si="0"/>
        <v>3000</v>
      </c>
      <c r="F35" s="75">
        <f>767.77+151.83</f>
        <v>919.6</v>
      </c>
      <c r="G35" s="66">
        <f>341.66+33+71.44-5.26+360</f>
        <v>800.84</v>
      </c>
      <c r="H35" s="64">
        <f t="shared" si="2"/>
        <v>1720.44</v>
      </c>
      <c r="I35" s="38">
        <f t="shared" si="19"/>
        <v>80.399999999999977</v>
      </c>
      <c r="J35" s="39">
        <f t="shared" si="20"/>
        <v>1199.1599999999999</v>
      </c>
      <c r="K35" s="64">
        <f t="shared" si="17"/>
        <v>1279.56</v>
      </c>
      <c r="L35" s="38">
        <f>F35</f>
        <v>919.6</v>
      </c>
      <c r="M35" s="39">
        <f>G35</f>
        <v>800.84</v>
      </c>
      <c r="N35" s="64">
        <f t="shared" si="6"/>
        <v>1720.44</v>
      </c>
      <c r="O35" s="136">
        <v>1000</v>
      </c>
      <c r="P35" s="148">
        <v>2000</v>
      </c>
      <c r="Q35" s="160">
        <f t="shared" si="18"/>
        <v>3000</v>
      </c>
      <c r="R35" s="108"/>
    </row>
    <row r="36" spans="1:18" ht="16.5" thickBot="1" x14ac:dyDescent="0.3">
      <c r="A36" s="30" t="s">
        <v>34</v>
      </c>
      <c r="B36" s="57"/>
      <c r="C36" s="127">
        <f>SUM(C27:C35)</f>
        <v>145400</v>
      </c>
      <c r="D36" s="56">
        <f>SUM(D27:D35)</f>
        <v>153400</v>
      </c>
      <c r="E36" s="126">
        <f t="shared" si="0"/>
        <v>298800</v>
      </c>
      <c r="F36" s="34">
        <f>SUM(F27:F35)</f>
        <v>151025.06999999998</v>
      </c>
      <c r="G36" s="35">
        <f>SUM(G27:G35)</f>
        <v>104135.62</v>
      </c>
      <c r="H36" s="78">
        <f t="shared" si="2"/>
        <v>255160.68999999997</v>
      </c>
      <c r="I36" s="34">
        <f t="shared" ref="I36:Q36" si="21">SUM(I27:I35)</f>
        <v>-5625.0700000000015</v>
      </c>
      <c r="J36" s="35">
        <f t="shared" si="21"/>
        <v>49264.380000000005</v>
      </c>
      <c r="K36" s="78">
        <f t="shared" si="21"/>
        <v>43639.31</v>
      </c>
      <c r="L36" s="34">
        <f t="shared" si="21"/>
        <v>182847.94999999998</v>
      </c>
      <c r="M36" s="35">
        <f t="shared" si="21"/>
        <v>154460.42000000001</v>
      </c>
      <c r="N36" s="78">
        <f t="shared" si="21"/>
        <v>337308.37</v>
      </c>
      <c r="O36" s="140">
        <f t="shared" si="21"/>
        <v>145400</v>
      </c>
      <c r="P36" s="59">
        <f t="shared" si="21"/>
        <v>153400</v>
      </c>
      <c r="Q36" s="164">
        <f t="shared" si="21"/>
        <v>298800</v>
      </c>
      <c r="R36" s="108"/>
    </row>
    <row r="37" spans="1:18" ht="17.25" thickTop="1" thickBot="1" x14ac:dyDescent="0.3">
      <c r="A37" s="6" t="s">
        <v>53</v>
      </c>
      <c r="B37" s="25" t="s">
        <v>54</v>
      </c>
      <c r="C37" s="128">
        <v>17000</v>
      </c>
      <c r="D37" s="79">
        <v>11000</v>
      </c>
      <c r="E37" s="129">
        <f>C37+D37</f>
        <v>28000</v>
      </c>
      <c r="F37" s="105">
        <v>27621.52</v>
      </c>
      <c r="G37" s="103">
        <v>5311.83</v>
      </c>
      <c r="H37" s="104">
        <f>F37+G37</f>
        <v>32933.35</v>
      </c>
      <c r="I37" s="105">
        <f t="shared" ref="I37:J38" si="22">C37-F37</f>
        <v>-10621.52</v>
      </c>
      <c r="J37" s="103">
        <f t="shared" si="22"/>
        <v>5688.17</v>
      </c>
      <c r="K37" s="104">
        <f>I37+J37</f>
        <v>-4933.3500000000004</v>
      </c>
      <c r="L37" s="105">
        <f>F37</f>
        <v>27621.52</v>
      </c>
      <c r="M37" s="103">
        <f>G37</f>
        <v>5311.83</v>
      </c>
      <c r="N37" s="72">
        <f t="shared" si="6"/>
        <v>32933.35</v>
      </c>
      <c r="O37" s="144">
        <v>17000</v>
      </c>
      <c r="P37" s="157">
        <v>11000</v>
      </c>
      <c r="Q37" s="162">
        <f>O37+P37</f>
        <v>28000</v>
      </c>
      <c r="R37" s="108"/>
    </row>
    <row r="38" spans="1:18" ht="17.25" thickTop="1" thickBot="1" x14ac:dyDescent="0.3">
      <c r="A38" s="21" t="s">
        <v>35</v>
      </c>
      <c r="B38" s="27" t="s">
        <v>36</v>
      </c>
      <c r="C38" s="130">
        <v>1000</v>
      </c>
      <c r="D38" s="131">
        <v>1000</v>
      </c>
      <c r="E38" s="132">
        <f>C38+D38</f>
        <v>2000</v>
      </c>
      <c r="F38" s="45">
        <f>60+789.2</f>
        <v>849.2</v>
      </c>
      <c r="G38" s="46">
        <v>1316.4</v>
      </c>
      <c r="H38" s="69">
        <f t="shared" si="2"/>
        <v>2165.6000000000004</v>
      </c>
      <c r="I38" s="45">
        <f t="shared" si="22"/>
        <v>150.79999999999995</v>
      </c>
      <c r="J38" s="46">
        <f t="shared" si="22"/>
        <v>-316.40000000000009</v>
      </c>
      <c r="K38" s="69">
        <f>I38+J38</f>
        <v>-165.60000000000014</v>
      </c>
      <c r="L38" s="45">
        <f>F38+100</f>
        <v>949.2</v>
      </c>
      <c r="M38" s="46">
        <f>G38+100</f>
        <v>1416.4</v>
      </c>
      <c r="N38" s="69">
        <f t="shared" si="6"/>
        <v>2365.6000000000004</v>
      </c>
      <c r="O38" s="145">
        <v>1000</v>
      </c>
      <c r="P38" s="158">
        <v>1000</v>
      </c>
      <c r="Q38" s="167">
        <f>O38+P38</f>
        <v>2000</v>
      </c>
      <c r="R38" s="108"/>
    </row>
    <row r="39" spans="1:18" ht="17.25" thickTop="1" thickBot="1" x14ac:dyDescent="0.3">
      <c r="A39" s="7" t="s">
        <v>37</v>
      </c>
      <c r="B39" s="25" t="s">
        <v>38</v>
      </c>
      <c r="C39" s="133">
        <v>21000</v>
      </c>
      <c r="D39" s="53">
        <v>19000</v>
      </c>
      <c r="E39" s="134">
        <f t="shared" si="0"/>
        <v>40000</v>
      </c>
      <c r="F39" s="110">
        <v>22820.92</v>
      </c>
      <c r="G39" s="44">
        <v>17946.39</v>
      </c>
      <c r="H39" s="72">
        <f t="shared" si="2"/>
        <v>40767.31</v>
      </c>
      <c r="I39" s="94">
        <f t="shared" ref="I39:I43" si="23">C39-F39</f>
        <v>-1820.9199999999983</v>
      </c>
      <c r="J39" s="95">
        <f t="shared" ref="J39:J43" si="24">D39-G39</f>
        <v>1053.6100000000006</v>
      </c>
      <c r="K39" s="72">
        <f t="shared" ref="K39:K43" si="25">I39+J39</f>
        <v>-767.30999999999767</v>
      </c>
      <c r="L39" s="110">
        <f>F39+1700</f>
        <v>24520.92</v>
      </c>
      <c r="M39" s="44">
        <f>G39+2300</f>
        <v>20246.39</v>
      </c>
      <c r="N39" s="72">
        <f t="shared" si="6"/>
        <v>44767.31</v>
      </c>
      <c r="O39" s="138">
        <v>21000</v>
      </c>
      <c r="P39" s="157">
        <v>19000</v>
      </c>
      <c r="Q39" s="162">
        <f>O39+P39</f>
        <v>40000</v>
      </c>
      <c r="R39" s="108"/>
    </row>
    <row r="40" spans="1:18" ht="17.25" thickTop="1" thickBot="1" x14ac:dyDescent="0.3">
      <c r="A40" s="7" t="s">
        <v>52</v>
      </c>
      <c r="B40" s="25" t="s">
        <v>51</v>
      </c>
      <c r="C40" s="133"/>
      <c r="D40" s="53"/>
      <c r="E40" s="134">
        <f t="shared" si="0"/>
        <v>0</v>
      </c>
      <c r="F40" s="110"/>
      <c r="G40" s="44"/>
      <c r="H40" s="72"/>
      <c r="I40" s="94">
        <f t="shared" si="23"/>
        <v>0</v>
      </c>
      <c r="J40" s="95">
        <f t="shared" si="24"/>
        <v>0</v>
      </c>
      <c r="K40" s="72">
        <f t="shared" si="25"/>
        <v>0</v>
      </c>
      <c r="L40" s="45"/>
      <c r="M40" s="46"/>
      <c r="N40" s="69">
        <f t="shared" si="6"/>
        <v>0</v>
      </c>
      <c r="O40" s="145"/>
      <c r="P40" s="158"/>
      <c r="Q40" s="162">
        <f t="shared" ref="Q40:Q43" si="26">O40+P40</f>
        <v>0</v>
      </c>
      <c r="R40" s="108"/>
    </row>
    <row r="41" spans="1:18" ht="17.25" thickTop="1" thickBot="1" x14ac:dyDescent="0.3">
      <c r="A41" s="19" t="s">
        <v>39</v>
      </c>
      <c r="B41" s="27" t="s">
        <v>40</v>
      </c>
      <c r="C41" s="130">
        <v>500</v>
      </c>
      <c r="D41" s="131">
        <v>500</v>
      </c>
      <c r="E41" s="132">
        <f t="shared" si="0"/>
        <v>1000</v>
      </c>
      <c r="F41" s="45">
        <v>527.70000000000005</v>
      </c>
      <c r="G41" s="46">
        <v>507.01</v>
      </c>
      <c r="H41" s="69">
        <f>F41+G41</f>
        <v>1034.71</v>
      </c>
      <c r="I41" s="94">
        <f t="shared" si="23"/>
        <v>-27.700000000000045</v>
      </c>
      <c r="J41" s="95">
        <f t="shared" si="24"/>
        <v>-7.0099999999999909</v>
      </c>
      <c r="K41" s="90">
        <f t="shared" si="25"/>
        <v>-34.710000000000036</v>
      </c>
      <c r="L41" s="110">
        <f>F41+130*3</f>
        <v>917.7</v>
      </c>
      <c r="M41" s="44">
        <f>G41</f>
        <v>507.01</v>
      </c>
      <c r="N41" s="72">
        <f t="shared" si="6"/>
        <v>1424.71</v>
      </c>
      <c r="O41" s="138">
        <v>500</v>
      </c>
      <c r="P41" s="157">
        <v>550</v>
      </c>
      <c r="Q41" s="162">
        <f t="shared" si="26"/>
        <v>1050</v>
      </c>
      <c r="R41" s="108"/>
    </row>
    <row r="42" spans="1:18" ht="17.25" thickTop="1" thickBot="1" x14ac:dyDescent="0.3">
      <c r="A42" s="7" t="s">
        <v>41</v>
      </c>
      <c r="B42" s="25" t="s">
        <v>42</v>
      </c>
      <c r="C42" s="133">
        <v>7500</v>
      </c>
      <c r="D42" s="53">
        <v>8000</v>
      </c>
      <c r="E42" s="134">
        <f t="shared" si="0"/>
        <v>15500</v>
      </c>
      <c r="F42" s="110">
        <v>7568.66</v>
      </c>
      <c r="G42" s="44">
        <v>8598.23</v>
      </c>
      <c r="H42" s="72">
        <f t="shared" si="2"/>
        <v>16166.89</v>
      </c>
      <c r="I42" s="94">
        <f t="shared" si="23"/>
        <v>-68.659999999999854</v>
      </c>
      <c r="J42" s="95">
        <f t="shared" si="24"/>
        <v>-598.22999999999956</v>
      </c>
      <c r="K42" s="72">
        <f t="shared" si="25"/>
        <v>-666.88999999999942</v>
      </c>
      <c r="L42" s="45">
        <f>F42</f>
        <v>7568.66</v>
      </c>
      <c r="M42" s="46">
        <f>G42</f>
        <v>8598.23</v>
      </c>
      <c r="N42" s="69">
        <f t="shared" si="6"/>
        <v>16166.89</v>
      </c>
      <c r="O42" s="145">
        <v>7500</v>
      </c>
      <c r="P42" s="158">
        <v>8000</v>
      </c>
      <c r="Q42" s="162">
        <f t="shared" si="26"/>
        <v>15500</v>
      </c>
      <c r="R42" s="108"/>
    </row>
    <row r="43" spans="1:18" ht="17.25" thickTop="1" thickBot="1" x14ac:dyDescent="0.3">
      <c r="A43" s="19" t="s">
        <v>43</v>
      </c>
      <c r="B43" s="27"/>
      <c r="C43" s="130">
        <f>3100+20000+420000</f>
        <v>443100</v>
      </c>
      <c r="D43" s="131">
        <f>770000-420000</f>
        <v>350000</v>
      </c>
      <c r="E43" s="132">
        <f t="shared" si="0"/>
        <v>793100</v>
      </c>
      <c r="F43" s="45">
        <f>3100+20000</f>
        <v>23100</v>
      </c>
      <c r="G43" s="46"/>
      <c r="H43" s="69">
        <f t="shared" si="2"/>
        <v>23100</v>
      </c>
      <c r="I43" s="94">
        <f t="shared" si="23"/>
        <v>420000</v>
      </c>
      <c r="J43" s="95">
        <f t="shared" si="24"/>
        <v>350000</v>
      </c>
      <c r="K43" s="72">
        <f t="shared" si="25"/>
        <v>770000</v>
      </c>
      <c r="L43" s="110">
        <f>F43+419400</f>
        <v>442500</v>
      </c>
      <c r="M43" s="44">
        <f>G43+338132.4</f>
        <v>338132.4</v>
      </c>
      <c r="N43" s="72">
        <f t="shared" si="6"/>
        <v>780632.4</v>
      </c>
      <c r="O43" s="138">
        <f>22000+294000+330000+1500+1500+1500</f>
        <v>650500</v>
      </c>
      <c r="P43" s="157">
        <v>435000</v>
      </c>
      <c r="Q43" s="162">
        <f t="shared" si="26"/>
        <v>1085500</v>
      </c>
      <c r="R43" s="108"/>
    </row>
    <row r="44" spans="1:18" ht="17.25" thickTop="1" thickBot="1" x14ac:dyDescent="0.3">
      <c r="A44" s="22" t="s">
        <v>44</v>
      </c>
      <c r="B44" s="25"/>
      <c r="C44" s="135">
        <f>SUM(C4:C9)+C21+C26+SUM(C36:C43)</f>
        <v>2642100</v>
      </c>
      <c r="D44" s="135">
        <f>SUM(D4:D9)+D21+D26+SUM(D36:D43)</f>
        <v>2407500</v>
      </c>
      <c r="E44" s="135">
        <f t="shared" ref="E44:Q44" si="27">SUM(E36:E43)+E26+E21+SUM(E4:E9)</f>
        <v>5049600</v>
      </c>
      <c r="F44" s="36">
        <f>SUM(F36:F43)+F26+F21+SUM(F4:F9)</f>
        <v>1647732.25</v>
      </c>
      <c r="G44" s="37">
        <f>SUM(G36:G43)+G26+G21+SUM(G4:G9)</f>
        <v>1342945.4900000002</v>
      </c>
      <c r="H44" s="77">
        <f>SUM(H36:H43)+H26+H21+SUM(H4:H9)</f>
        <v>2990677.74</v>
      </c>
      <c r="I44" s="36">
        <f t="shared" si="27"/>
        <v>994367.74999999988</v>
      </c>
      <c r="J44" s="37">
        <f t="shared" si="27"/>
        <v>1064554.51</v>
      </c>
      <c r="K44" s="77">
        <f t="shared" si="27"/>
        <v>2058922.2600000002</v>
      </c>
      <c r="L44" s="111">
        <f t="shared" si="27"/>
        <v>2587077.02</v>
      </c>
      <c r="M44" s="112">
        <f t="shared" si="27"/>
        <v>2480815.14</v>
      </c>
      <c r="N44" s="113">
        <f t="shared" si="27"/>
        <v>5067892.16</v>
      </c>
      <c r="O44" s="146">
        <f t="shared" si="27"/>
        <v>2956500</v>
      </c>
      <c r="P44" s="146">
        <f t="shared" si="27"/>
        <v>2741550</v>
      </c>
      <c r="Q44" s="146">
        <f t="shared" si="27"/>
        <v>5698050</v>
      </c>
      <c r="R44" s="108"/>
    </row>
    <row r="45" spans="1:18" ht="16.5" thickTop="1" x14ac:dyDescent="0.25">
      <c r="A45" s="23"/>
      <c r="B45" s="24"/>
      <c r="C45" s="33">
        <f>C44-C43</f>
        <v>2199000</v>
      </c>
      <c r="D45" s="33">
        <f>D44-D43</f>
        <v>2057500</v>
      </c>
      <c r="E45" s="33">
        <f>E44-E43</f>
        <v>4256500</v>
      </c>
      <c r="N45" s="196" t="s">
        <v>76</v>
      </c>
      <c r="O45" s="147">
        <f>O44-O43</f>
        <v>2306000</v>
      </c>
      <c r="P45" s="159">
        <f>P44-P43</f>
        <v>2306550</v>
      </c>
      <c r="Q45" s="147">
        <f>Q44-Q43</f>
        <v>4612550</v>
      </c>
    </row>
    <row r="46" spans="1:18" x14ac:dyDescent="0.25">
      <c r="A46" s="10"/>
      <c r="C46" s="197"/>
      <c r="D46" s="197"/>
      <c r="E46" s="197"/>
      <c r="F46" s="197"/>
    </row>
    <row r="47" spans="1:18" x14ac:dyDescent="0.25">
      <c r="A47" s="10"/>
      <c r="C47" s="32"/>
      <c r="D47" s="32"/>
      <c r="E47" s="85"/>
      <c r="F47" s="191"/>
    </row>
    <row r="48" spans="1:18" x14ac:dyDescent="0.25">
      <c r="A48" s="10"/>
      <c r="C48" s="48"/>
      <c r="D48" s="48"/>
      <c r="E48" s="91"/>
      <c r="F48" s="192"/>
      <c r="G48" s="192"/>
      <c r="H48" s="193"/>
      <c r="I48" s="193"/>
    </row>
    <row r="49" spans="1:9" x14ac:dyDescent="0.25">
      <c r="A49" s="10"/>
      <c r="C49" s="48"/>
      <c r="D49" s="48"/>
      <c r="E49" s="91"/>
      <c r="F49" s="88"/>
      <c r="G49" s="88"/>
      <c r="H49" s="92"/>
      <c r="I49" s="92"/>
    </row>
    <row r="50" spans="1:9" x14ac:dyDescent="0.25">
      <c r="A50" s="10"/>
      <c r="C50" s="48"/>
      <c r="D50" s="89"/>
      <c r="E50" s="93"/>
      <c r="F50" s="88"/>
      <c r="G50" s="88"/>
      <c r="H50" s="88"/>
      <c r="I50" s="88"/>
    </row>
    <row r="51" spans="1:9" x14ac:dyDescent="0.25">
      <c r="A51" s="31"/>
      <c r="C51" s="49"/>
      <c r="D51" s="49"/>
      <c r="E51" s="50"/>
    </row>
    <row r="52" spans="1:9" x14ac:dyDescent="0.25">
      <c r="A52" s="10"/>
      <c r="C52" s="47"/>
      <c r="D52" s="47"/>
      <c r="E52" s="47"/>
    </row>
    <row r="53" spans="1:9" x14ac:dyDescent="0.25">
      <c r="A53" s="10"/>
      <c r="C53" s="47"/>
      <c r="D53" s="47"/>
      <c r="E53" s="47"/>
    </row>
    <row r="54" spans="1:9" x14ac:dyDescent="0.25">
      <c r="A54" s="10"/>
      <c r="C54" s="47"/>
      <c r="D54" s="47"/>
      <c r="E54" s="47"/>
    </row>
    <row r="55" spans="1:9" x14ac:dyDescent="0.25">
      <c r="A55" s="10"/>
      <c r="C55" s="47"/>
      <c r="D55" s="47"/>
      <c r="E55" s="47"/>
    </row>
    <row r="56" spans="1:9" x14ac:dyDescent="0.25">
      <c r="A56" s="10"/>
      <c r="C56" s="47"/>
      <c r="D56" s="47"/>
      <c r="E56" s="47"/>
    </row>
    <row r="57" spans="1:9" x14ac:dyDescent="0.25">
      <c r="C57" s="47"/>
      <c r="D57" s="47"/>
      <c r="E57" s="47"/>
    </row>
    <row r="58" spans="1:9" x14ac:dyDescent="0.25">
      <c r="A58" s="10"/>
      <c r="C58" s="47"/>
      <c r="D58" s="47"/>
      <c r="E58" s="47"/>
    </row>
    <row r="59" spans="1:9" x14ac:dyDescent="0.25">
      <c r="A59" s="11"/>
      <c r="C59" s="47"/>
      <c r="D59" s="47"/>
      <c r="E59" s="47"/>
    </row>
    <row r="60" spans="1:9" x14ac:dyDescent="0.25">
      <c r="A60" s="11"/>
      <c r="C60" s="47"/>
      <c r="D60" s="47"/>
      <c r="E60" s="47"/>
    </row>
    <row r="61" spans="1:9" x14ac:dyDescent="0.25">
      <c r="A61" s="11"/>
      <c r="C61" s="47"/>
      <c r="D61" s="47"/>
      <c r="E61" s="47"/>
    </row>
    <row r="62" spans="1:9" x14ac:dyDescent="0.25">
      <c r="A62" s="11"/>
      <c r="C62" s="47"/>
      <c r="D62" s="47"/>
      <c r="E62" s="47"/>
    </row>
    <row r="63" spans="1:9" x14ac:dyDescent="0.25">
      <c r="A63" s="11"/>
      <c r="C63" s="47"/>
      <c r="D63" s="47"/>
      <c r="E63" s="47"/>
    </row>
    <row r="64" spans="1:9" x14ac:dyDescent="0.25">
      <c r="A64" s="11"/>
      <c r="C64" s="47"/>
      <c r="D64" s="47"/>
      <c r="E64" s="47"/>
    </row>
    <row r="65" spans="1:5" x14ac:dyDescent="0.25">
      <c r="A65" s="11"/>
      <c r="C65" s="47"/>
      <c r="D65" s="47"/>
      <c r="E65" s="47"/>
    </row>
    <row r="66" spans="1:5" x14ac:dyDescent="0.25">
      <c r="A66" s="10"/>
      <c r="C66" s="47"/>
      <c r="D66" s="47"/>
      <c r="E66" s="47"/>
    </row>
    <row r="67" spans="1:5" x14ac:dyDescent="0.25">
      <c r="A67" s="10"/>
      <c r="C67" s="47"/>
      <c r="D67" s="47"/>
      <c r="E67" s="47"/>
    </row>
    <row r="68" spans="1:5" x14ac:dyDescent="0.25">
      <c r="A68" s="10"/>
      <c r="C68" s="47"/>
      <c r="D68" s="47"/>
      <c r="E68" s="47"/>
    </row>
    <row r="69" spans="1:5" x14ac:dyDescent="0.25">
      <c r="A69" s="10"/>
      <c r="C69" s="47"/>
      <c r="D69" s="47"/>
      <c r="E69" s="47"/>
    </row>
    <row r="70" spans="1:5" x14ac:dyDescent="0.25">
      <c r="A70" s="10"/>
      <c r="C70" s="47"/>
      <c r="D70" s="47"/>
      <c r="E70" s="47"/>
    </row>
    <row r="71" spans="1:5" x14ac:dyDescent="0.25">
      <c r="A71" s="10"/>
      <c r="C71" s="47"/>
      <c r="D71" s="47"/>
      <c r="E71" s="47"/>
    </row>
    <row r="72" spans="1:5" x14ac:dyDescent="0.25">
      <c r="C72" s="47"/>
      <c r="D72" s="47"/>
      <c r="E72" s="47"/>
    </row>
    <row r="73" spans="1:5" x14ac:dyDescent="0.25">
      <c r="C73" s="47"/>
      <c r="D73" s="47"/>
      <c r="E73" s="47"/>
    </row>
    <row r="74" spans="1:5" x14ac:dyDescent="0.25">
      <c r="C74" s="47"/>
      <c r="D74" s="47"/>
      <c r="E74" s="47"/>
    </row>
    <row r="75" spans="1:5" x14ac:dyDescent="0.25">
      <c r="C75" s="47"/>
      <c r="D75" s="47"/>
      <c r="E75" s="47"/>
    </row>
    <row r="76" spans="1:5" x14ac:dyDescent="0.25">
      <c r="C76" s="47"/>
      <c r="D76" s="47"/>
      <c r="E76" s="47"/>
    </row>
    <row r="77" spans="1:5" x14ac:dyDescent="0.25">
      <c r="C77" s="47"/>
      <c r="D77" s="47"/>
      <c r="E77" s="47"/>
    </row>
    <row r="78" spans="1:5" x14ac:dyDescent="0.25">
      <c r="C78" s="47"/>
      <c r="D78" s="47"/>
      <c r="E78" s="47"/>
    </row>
    <row r="79" spans="1:5" x14ac:dyDescent="0.25">
      <c r="C79" s="47"/>
      <c r="D79" s="47"/>
      <c r="E79" s="47"/>
    </row>
    <row r="80" spans="1:5" x14ac:dyDescent="0.25">
      <c r="C80" s="47"/>
      <c r="D80" s="47"/>
      <c r="E80" s="47"/>
    </row>
    <row r="81" spans="3:5" x14ac:dyDescent="0.25">
      <c r="C81" s="47"/>
      <c r="D81" s="47"/>
      <c r="E81" s="47"/>
    </row>
    <row r="82" spans="3:5" x14ac:dyDescent="0.25">
      <c r="C82" s="47"/>
      <c r="D82" s="47"/>
      <c r="E82" s="47"/>
    </row>
    <row r="83" spans="3:5" x14ac:dyDescent="0.25">
      <c r="C83" s="47"/>
      <c r="D83" s="47"/>
      <c r="E83" s="47"/>
    </row>
    <row r="84" spans="3:5" x14ac:dyDescent="0.25">
      <c r="C84" s="47"/>
      <c r="D84" s="47"/>
      <c r="E84" s="47"/>
    </row>
    <row r="85" spans="3:5" x14ac:dyDescent="0.25">
      <c r="C85" s="47"/>
      <c r="D85" s="47"/>
      <c r="E85" s="47"/>
    </row>
    <row r="86" spans="3:5" x14ac:dyDescent="0.25">
      <c r="C86" s="47"/>
      <c r="D86" s="47"/>
      <c r="E86" s="47"/>
    </row>
    <row r="87" spans="3:5" x14ac:dyDescent="0.25">
      <c r="C87" s="47"/>
      <c r="D87" s="47"/>
      <c r="E87" s="47"/>
    </row>
    <row r="88" spans="3:5" x14ac:dyDescent="0.25">
      <c r="C88" s="47"/>
      <c r="D88" s="47"/>
      <c r="E88" s="47"/>
    </row>
    <row r="89" spans="3:5" x14ac:dyDescent="0.25">
      <c r="C89" s="47"/>
      <c r="D89" s="47"/>
      <c r="E89" s="47"/>
    </row>
    <row r="90" spans="3:5" x14ac:dyDescent="0.25">
      <c r="C90" s="47"/>
      <c r="D90" s="47"/>
      <c r="E90" s="47"/>
    </row>
    <row r="91" spans="3:5" x14ac:dyDescent="0.25">
      <c r="C91" s="47"/>
      <c r="D91" s="47"/>
      <c r="E91" s="47"/>
    </row>
    <row r="92" spans="3:5" x14ac:dyDescent="0.25">
      <c r="C92" s="47"/>
      <c r="D92" s="47"/>
      <c r="E92" s="47"/>
    </row>
    <row r="93" spans="3:5" x14ac:dyDescent="0.25">
      <c r="C93" s="47"/>
      <c r="D93" s="47"/>
      <c r="E93" s="47"/>
    </row>
    <row r="94" spans="3:5" x14ac:dyDescent="0.25">
      <c r="C94" s="47"/>
      <c r="D94" s="47"/>
      <c r="E94" s="47"/>
    </row>
    <row r="95" spans="3:5" x14ac:dyDescent="0.25">
      <c r="C95" s="47"/>
      <c r="D95" s="47"/>
      <c r="E95" s="47"/>
    </row>
    <row r="96" spans="3:5" x14ac:dyDescent="0.25">
      <c r="C96" s="47"/>
      <c r="D96" s="47"/>
      <c r="E96" s="47"/>
    </row>
    <row r="97" spans="3:5" x14ac:dyDescent="0.25">
      <c r="C97" s="47"/>
      <c r="D97" s="47"/>
      <c r="E97" s="47"/>
    </row>
    <row r="98" spans="3:5" x14ac:dyDescent="0.25">
      <c r="C98" s="47"/>
      <c r="D98" s="47"/>
      <c r="E98" s="47"/>
    </row>
    <row r="99" spans="3:5" x14ac:dyDescent="0.25">
      <c r="C99" s="47"/>
      <c r="D99" s="47"/>
      <c r="E99" s="47"/>
    </row>
    <row r="100" spans="3:5" x14ac:dyDescent="0.25">
      <c r="C100" s="47"/>
      <c r="D100" s="47"/>
      <c r="E100" s="47"/>
    </row>
    <row r="101" spans="3:5" x14ac:dyDescent="0.25">
      <c r="C101" s="47"/>
      <c r="D101" s="47"/>
      <c r="E101" s="47"/>
    </row>
  </sheetData>
  <dataConsolidate/>
  <mergeCells count="1">
    <mergeCell ref="C46:F46"/>
  </mergeCells>
  <pageMargins left="0.19685039370078741" right="0.19685039370078741" top="0.23622047244094491" bottom="0.19685039370078741" header="0.19685039370078741" footer="0.1574803149606299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1"/>
  <sheetViews>
    <sheetView workbookViewId="0">
      <selection activeCell="N45" sqref="N45"/>
    </sheetView>
  </sheetViews>
  <sheetFormatPr defaultRowHeight="15.75" x14ac:dyDescent="0.25"/>
  <cols>
    <col min="1" max="1" width="47" style="8" customWidth="1"/>
    <col min="2" max="2" width="5.625" style="9" bestFit="1" customWidth="1"/>
    <col min="3" max="3" width="11.75" style="33" customWidth="1"/>
    <col min="4" max="4" width="13.75" style="33" customWidth="1"/>
    <col min="5" max="5" width="12.375" style="33" customWidth="1"/>
    <col min="6" max="6" width="12.375" style="190" bestFit="1" customWidth="1"/>
    <col min="7" max="8" width="11.5" style="190" bestFit="1" customWidth="1"/>
    <col min="9" max="9" width="12.375" style="190" hidden="1" customWidth="1"/>
    <col min="10" max="10" width="12.625" style="190" hidden="1" customWidth="1"/>
    <col min="11" max="11" width="15.25" style="190" hidden="1" customWidth="1"/>
    <col min="12" max="13" width="15.25" style="190" customWidth="1"/>
    <col min="14" max="14" width="13.25" style="190" customWidth="1"/>
    <col min="15" max="15" width="13.25" style="147" customWidth="1"/>
    <col min="16" max="16" width="14.25" style="147" customWidth="1"/>
    <col min="17" max="17" width="12.375" style="147" customWidth="1"/>
    <col min="18" max="19" width="12.375" style="107" customWidth="1"/>
    <col min="20" max="20" width="9" style="107"/>
  </cols>
  <sheetData>
    <row r="1" spans="1:19" s="195" customFormat="1" x14ac:dyDescent="0.25">
      <c r="H1" s="195" t="s">
        <v>75</v>
      </c>
    </row>
    <row r="2" spans="1:19" s="195" customFormat="1" ht="16.5" thickBot="1" x14ac:dyDescent="0.3">
      <c r="A2" s="195" t="s">
        <v>74</v>
      </c>
    </row>
    <row r="3" spans="1:19" ht="81" customHeight="1" thickTop="1" thickBot="1" x14ac:dyDescent="0.3">
      <c r="A3" s="14" t="s">
        <v>72</v>
      </c>
      <c r="B3" s="60" t="s">
        <v>0</v>
      </c>
      <c r="C3" s="60" t="s">
        <v>56</v>
      </c>
      <c r="D3" s="60" t="s">
        <v>57</v>
      </c>
      <c r="E3" s="62" t="s">
        <v>58</v>
      </c>
      <c r="F3" s="168" t="s">
        <v>63</v>
      </c>
      <c r="G3" s="169" t="s">
        <v>64</v>
      </c>
      <c r="H3" s="170" t="s">
        <v>65</v>
      </c>
      <c r="I3" s="171" t="s">
        <v>60</v>
      </c>
      <c r="J3" s="172" t="s">
        <v>61</v>
      </c>
      <c r="K3" s="173" t="s">
        <v>62</v>
      </c>
      <c r="L3" s="174" t="s">
        <v>66</v>
      </c>
      <c r="M3" s="175" t="s">
        <v>67</v>
      </c>
      <c r="N3" s="176" t="s">
        <v>68</v>
      </c>
      <c r="O3" s="73" t="s">
        <v>69</v>
      </c>
      <c r="P3" s="61" t="s">
        <v>70</v>
      </c>
      <c r="Q3" s="62" t="s">
        <v>71</v>
      </c>
      <c r="R3" s="114"/>
    </row>
    <row r="4" spans="1:19" ht="16.5" thickTop="1" x14ac:dyDescent="0.25">
      <c r="A4" s="15" t="s">
        <v>47</v>
      </c>
      <c r="B4" s="16" t="s">
        <v>1</v>
      </c>
      <c r="C4" s="54">
        <f>Лева!C4/1.95583</f>
        <v>664679.44555508404</v>
      </c>
      <c r="D4" s="54">
        <f>Лева!D4/1.95583</f>
        <v>577759.82575172686</v>
      </c>
      <c r="E4" s="116">
        <f>Лева!E4/1.95583</f>
        <v>1242439.2713068109</v>
      </c>
      <c r="F4" s="40">
        <f>Лева!F4/1.95583</f>
        <v>426925.54567626026</v>
      </c>
      <c r="G4" s="40">
        <f>Лева!G4/1.95583</f>
        <v>343139.7002806993</v>
      </c>
      <c r="H4" s="68">
        <f>Лева!H4/1.95583</f>
        <v>770065.24595695944</v>
      </c>
      <c r="I4" s="101">
        <f>Лева!I4/1.95583</f>
        <v>237753.89987882381</v>
      </c>
      <c r="J4" s="102">
        <f>Лева!J4/1.95583</f>
        <v>234620.12547102763</v>
      </c>
      <c r="K4" s="67">
        <f>Лева!K4/1.95583</f>
        <v>472374.02534985146</v>
      </c>
      <c r="L4" s="40">
        <f>Лева!L4/1.95583</f>
        <v>594672.2312266404</v>
      </c>
      <c r="M4" s="40">
        <f>Лева!M4/1.95583</f>
        <v>640570.4585776882</v>
      </c>
      <c r="N4" s="68">
        <f>Лева!N4/1.95583</f>
        <v>1235242.6898043286</v>
      </c>
      <c r="O4" s="54">
        <f>Лева!O4/1.95583</f>
        <v>669792.36436704628</v>
      </c>
      <c r="P4" s="54">
        <f>Лева!P4/1.95583</f>
        <v>659566.52674312191</v>
      </c>
      <c r="Q4" s="116">
        <f>Лева!Q4/1.95583</f>
        <v>1329358.8911101681</v>
      </c>
      <c r="R4" s="108"/>
      <c r="S4" s="109"/>
    </row>
    <row r="5" spans="1:19" x14ac:dyDescent="0.25">
      <c r="A5" s="1" t="s">
        <v>2</v>
      </c>
      <c r="B5" s="17" t="s">
        <v>3</v>
      </c>
      <c r="C5" s="52">
        <f>Лева!C5/1.95583</f>
        <v>13804.880792297899</v>
      </c>
      <c r="D5" s="52">
        <f>Лева!D5/1.95583</f>
        <v>13293.58891110168</v>
      </c>
      <c r="E5" s="117">
        <f>Лева!E5/1.95583</f>
        <v>27098.46970339958</v>
      </c>
      <c r="F5" s="177">
        <f>Лева!F5/1.95583</f>
        <v>10864.712168235481</v>
      </c>
      <c r="G5" s="65">
        <f>Лева!G5/1.95583</f>
        <v>7881.2268959981184</v>
      </c>
      <c r="H5" s="64">
        <f>Лева!H5/1.95583</f>
        <v>18745.939064233597</v>
      </c>
      <c r="I5" s="96">
        <f>Лева!I5/1.95583</f>
        <v>2940.168624062419</v>
      </c>
      <c r="J5" s="97">
        <f>Лева!J5/1.95583</f>
        <v>5412.362015103562</v>
      </c>
      <c r="K5" s="64">
        <f>Лева!K5/1.95583</f>
        <v>8352.5306391659815</v>
      </c>
      <c r="L5" s="38">
        <f>Лева!L5/1.95583</f>
        <v>16361.340198278991</v>
      </c>
      <c r="M5" s="39">
        <f>Лева!M5/1.95583</f>
        <v>11759.713267513025</v>
      </c>
      <c r="N5" s="64">
        <f>Лева!N5/1.95583</f>
        <v>28121.053465792018</v>
      </c>
      <c r="O5" s="136">
        <f>Лева!O5/1.95583</f>
        <v>18406.507723063867</v>
      </c>
      <c r="P5" s="148">
        <f>Лева!P5/1.95583</f>
        <v>13804.880792297899</v>
      </c>
      <c r="Q5" s="160">
        <f>Лева!Q5/1.95583</f>
        <v>32211.388515361767</v>
      </c>
      <c r="R5" s="108"/>
    </row>
    <row r="6" spans="1:19" x14ac:dyDescent="0.25">
      <c r="A6" s="1" t="s">
        <v>4</v>
      </c>
      <c r="B6" s="17" t="s">
        <v>5</v>
      </c>
      <c r="C6" s="52">
        <f>Лева!C6/1.95583</f>
        <v>19429.091485456302</v>
      </c>
      <c r="D6" s="52">
        <f>Лева!D6/1.95583</f>
        <v>5112.9188119621849</v>
      </c>
      <c r="E6" s="117">
        <f>Лева!E6/1.95583</f>
        <v>24542.010297418488</v>
      </c>
      <c r="F6" s="74">
        <f>Лева!F6/1.95583</f>
        <v>3373.6623326158206</v>
      </c>
      <c r="G6" s="65">
        <f>Лева!G6/1.95583</f>
        <v>2960.8759452508657</v>
      </c>
      <c r="H6" s="64">
        <f>Лева!H6/1.95583</f>
        <v>6334.5382778666863</v>
      </c>
      <c r="I6" s="96">
        <f>Лева!I6/1.95583</f>
        <v>16055.429152840481</v>
      </c>
      <c r="J6" s="97">
        <f>Лева!J6/1.95583</f>
        <v>2152.0428667113192</v>
      </c>
      <c r="K6" s="64">
        <f>Лева!K6/1.95583</f>
        <v>18207.472019551802</v>
      </c>
      <c r="L6" s="38">
        <f>Лева!L6/1.95583</f>
        <v>4090.3350495697478</v>
      </c>
      <c r="M6" s="39">
        <f>Лева!M6/1.95583</f>
        <v>3579.0431683735296</v>
      </c>
      <c r="N6" s="64">
        <f>Лева!N6/1.95583</f>
        <v>7669.3782179432774</v>
      </c>
      <c r="O6" s="136">
        <f>Лева!O6/1.95583</f>
        <v>34767.847921342858</v>
      </c>
      <c r="P6" s="148">
        <f>Лева!P6/1.95583</f>
        <v>11248.421386316806</v>
      </c>
      <c r="Q6" s="160">
        <f>Лева!Q6/1.95583</f>
        <v>46016.269307659662</v>
      </c>
      <c r="R6" s="108"/>
    </row>
    <row r="7" spans="1:19" x14ac:dyDescent="0.25">
      <c r="A7" s="1" t="s">
        <v>6</v>
      </c>
      <c r="B7" s="17" t="s">
        <v>7</v>
      </c>
      <c r="C7" s="52">
        <f>Лева!C7/1.95583</f>
        <v>0</v>
      </c>
      <c r="D7" s="52">
        <f>Лева!D7/1.95583</f>
        <v>0</v>
      </c>
      <c r="E7" s="117">
        <f>Лева!E7/1.95583</f>
        <v>0</v>
      </c>
      <c r="F7" s="178">
        <f>Лева!F7/1.95583</f>
        <v>2022.1389384557963</v>
      </c>
      <c r="G7" s="179">
        <f>Лева!G7/1.95583</f>
        <v>2506.1585107090086</v>
      </c>
      <c r="H7" s="86">
        <f>Лева!H7/1.95583</f>
        <v>4528.2974491648047</v>
      </c>
      <c r="I7" s="96">
        <f>Лева!I7/1.95583</f>
        <v>-2022.1389384557963</v>
      </c>
      <c r="J7" s="97">
        <f>Лева!J7/1.95583</f>
        <v>-2506.1585107090086</v>
      </c>
      <c r="K7" s="64">
        <f>Лева!K7/1.95583</f>
        <v>-4528.2974491648047</v>
      </c>
      <c r="L7" s="38">
        <f>Лева!L7/1.95583</f>
        <v>2022.1389384557963</v>
      </c>
      <c r="M7" s="39">
        <f>Лева!M7/1.95583</f>
        <v>2506.1585107090086</v>
      </c>
      <c r="N7" s="64">
        <f>Лева!N7/1.95583</f>
        <v>4528.2974491648047</v>
      </c>
      <c r="O7" s="136">
        <f>Лева!O7/1.95583</f>
        <v>0</v>
      </c>
      <c r="P7" s="148">
        <f>Лева!P7/1.95583</f>
        <v>0</v>
      </c>
      <c r="Q7" s="160">
        <f>Лева!Q7/1.95583</f>
        <v>0</v>
      </c>
      <c r="R7" s="108"/>
    </row>
    <row r="8" spans="1:19" ht="16.5" thickBot="1" x14ac:dyDescent="0.3">
      <c r="A8" s="2" t="s">
        <v>45</v>
      </c>
      <c r="B8" s="18" t="s">
        <v>8</v>
      </c>
      <c r="C8" s="63">
        <f>Лева!C8/1.95583</f>
        <v>130379.42970503571</v>
      </c>
      <c r="D8" s="63">
        <f>Лева!D8/1.95583</f>
        <v>112995.50574436429</v>
      </c>
      <c r="E8" s="118">
        <f>Лева!E8/1.95583</f>
        <v>243374.93544940001</v>
      </c>
      <c r="F8" s="180">
        <f>Лева!F8/1.95583</f>
        <v>83456.20018099733</v>
      </c>
      <c r="G8" s="181">
        <f>Лева!G8/1.95583</f>
        <v>67214.369347029147</v>
      </c>
      <c r="H8" s="87">
        <f>Лева!H8/1.95583</f>
        <v>150670.56952802648</v>
      </c>
      <c r="I8" s="182">
        <f>Лева!I8/1.95583</f>
        <v>46923.229524038383</v>
      </c>
      <c r="J8" s="183">
        <f>Лева!J8/1.95583</f>
        <v>45781.136397335147</v>
      </c>
      <c r="K8" s="184">
        <f>Лева!K8/1.95583</f>
        <v>92704.365921373523</v>
      </c>
      <c r="L8" s="185">
        <f>Лева!L8/1.95583</f>
        <v>116960.07321699739</v>
      </c>
      <c r="M8" s="186">
        <f>Лева!M8/1.95583</f>
        <v>92255.63060184168</v>
      </c>
      <c r="N8" s="184">
        <f>Лева!N8/1.95583</f>
        <v>209215.70381883907</v>
      </c>
      <c r="O8" s="137">
        <f>Лева!O8/1.95583</f>
        <v>131402.01346742816</v>
      </c>
      <c r="P8" s="149">
        <f>Лева!P8/1.95583</f>
        <v>129356.84594264328</v>
      </c>
      <c r="Q8" s="161">
        <f>Лева!Q8/1.95583</f>
        <v>260758.85941007143</v>
      </c>
      <c r="R8" s="108"/>
    </row>
    <row r="9" spans="1:19" ht="17.25" thickTop="1" thickBot="1" x14ac:dyDescent="0.3">
      <c r="A9" s="19" t="s">
        <v>9</v>
      </c>
      <c r="B9" s="27" t="s">
        <v>10</v>
      </c>
      <c r="C9" s="82">
        <f>Лева!C9/1.95583</f>
        <v>0</v>
      </c>
      <c r="D9" s="119">
        <f>Лева!D9/1.95583</f>
        <v>0</v>
      </c>
      <c r="E9" s="120">
        <f>Лева!E9/1.95583</f>
        <v>0</v>
      </c>
      <c r="F9" s="98">
        <f>Лева!F9/1.95583</f>
        <v>0</v>
      </c>
      <c r="G9" s="194">
        <f>Лева!G9/1.95583</f>
        <v>1952.3169191596407</v>
      </c>
      <c r="H9" s="104">
        <f>Лева!H9/1.95583</f>
        <v>1952.3169191596407</v>
      </c>
      <c r="I9" s="99">
        <f>Лева!I9/1.95583</f>
        <v>0</v>
      </c>
      <c r="J9" s="100">
        <f>Лева!J9/1.95583</f>
        <v>-1952.3169191596407</v>
      </c>
      <c r="K9" s="72">
        <f>Лева!K9/1.95583</f>
        <v>-1952.3169191596407</v>
      </c>
      <c r="L9" s="110">
        <f>Лева!L9/1.95583</f>
        <v>0</v>
      </c>
      <c r="M9" s="44">
        <f>Лева!M9/1.95583</f>
        <v>1952.3169191596407</v>
      </c>
      <c r="N9" s="72">
        <f>Лева!N9/1.95583</f>
        <v>1952.3169191596407</v>
      </c>
      <c r="O9" s="138">
        <f>Лева!O9/1.95583</f>
        <v>28632.345346988237</v>
      </c>
      <c r="P9" s="150">
        <f>Лева!P9/1.95583</f>
        <v>22496.842772633612</v>
      </c>
      <c r="Q9" s="162">
        <f>Лева!Q9/1.95583</f>
        <v>51129.188119621853</v>
      </c>
      <c r="R9" s="108"/>
    </row>
    <row r="10" spans="1:19" ht="16.5" thickTop="1" x14ac:dyDescent="0.25">
      <c r="A10" s="15" t="s">
        <v>55</v>
      </c>
      <c r="B10" s="16" t="s">
        <v>11</v>
      </c>
      <c r="C10" s="51">
        <f>Лева!C10/1.95583</f>
        <v>0</v>
      </c>
      <c r="D10" s="54">
        <f>Лева!D10/1.95583</f>
        <v>127925.22867529387</v>
      </c>
      <c r="E10" s="121">
        <f>Лева!E10/1.95583</f>
        <v>127925.22867529387</v>
      </c>
      <c r="F10" s="43">
        <f>Лева!F10/1.95583</f>
        <v>0</v>
      </c>
      <c r="G10" s="43">
        <f>Лева!G10/1.95583</f>
        <v>139009.29528640016</v>
      </c>
      <c r="H10" s="43">
        <f>Лева!H10/1.95583</f>
        <v>139009.29528640016</v>
      </c>
      <c r="I10" s="101">
        <f>Лева!I10/1.95583</f>
        <v>0</v>
      </c>
      <c r="J10" s="102">
        <f>Лева!J10/1.95583</f>
        <v>-11084.066611106276</v>
      </c>
      <c r="K10" s="67">
        <f>Лева!K10/1.95583</f>
        <v>-11084.066611106276</v>
      </c>
      <c r="L10" s="83">
        <f>Лева!L10/1.95583</f>
        <v>0</v>
      </c>
      <c r="M10" s="43">
        <f>Лева!M10/1.95583</f>
        <v>154348.05172228671</v>
      </c>
      <c r="N10" s="67">
        <f>Лева!N10/1.95583</f>
        <v>154348.05172228671</v>
      </c>
      <c r="O10" s="139">
        <f>Лева!O10/1.95583</f>
        <v>0</v>
      </c>
      <c r="P10" s="151">
        <f>Лева!P10/1.95583</f>
        <v>127925.22867529387</v>
      </c>
      <c r="Q10" s="163">
        <f>Лева!Q10/1.95583</f>
        <v>127925.22867529387</v>
      </c>
      <c r="R10" s="108"/>
    </row>
    <row r="11" spans="1:19" x14ac:dyDescent="0.25">
      <c r="A11" s="3" t="s">
        <v>12</v>
      </c>
      <c r="B11" s="17" t="s">
        <v>11</v>
      </c>
      <c r="C11" s="52">
        <f>Лева!C11/1.95583</f>
        <v>5112.9188119621849</v>
      </c>
      <c r="D11" s="52">
        <f>Лева!D11/1.95583</f>
        <v>5112.9188119621849</v>
      </c>
      <c r="E11" s="122">
        <f>Лева!E11/1.95583</f>
        <v>10225.83762392437</v>
      </c>
      <c r="F11" s="39">
        <f>Лева!F11/1.95583</f>
        <v>1099.6098842946474</v>
      </c>
      <c r="G11" s="39">
        <f>Лева!G11/1.95583</f>
        <v>5836.8569865479103</v>
      </c>
      <c r="H11" s="39">
        <f>Лева!H11/1.95583</f>
        <v>6936.4668708425579</v>
      </c>
      <c r="I11" s="38">
        <f>Лева!I11/1.95583</f>
        <v>4013.3089276675378</v>
      </c>
      <c r="J11" s="39">
        <f>Лева!J11/1.95583</f>
        <v>-723.93817458572562</v>
      </c>
      <c r="K11" s="64">
        <f>Лева!K11/1.95583</f>
        <v>3289.3707530818124</v>
      </c>
      <c r="L11" s="38">
        <f>Лева!L11/1.95583</f>
        <v>1610.901765490866</v>
      </c>
      <c r="M11" s="39">
        <f>Лева!M11/1.95583</f>
        <v>7115.086689538457</v>
      </c>
      <c r="N11" s="64">
        <f>Лева!N11/1.95583</f>
        <v>8725.9884550293227</v>
      </c>
      <c r="O11" s="136">
        <f>Лева!O11/1.95583</f>
        <v>5112.9188119621849</v>
      </c>
      <c r="P11" s="152">
        <f>Лева!P11/1.95583</f>
        <v>5112.9188119621849</v>
      </c>
      <c r="Q11" s="160">
        <f>Лева!Q11/1.95583</f>
        <v>10225.83762392437</v>
      </c>
      <c r="R11" s="108"/>
    </row>
    <row r="12" spans="1:19" x14ac:dyDescent="0.25">
      <c r="A12" s="3" t="s">
        <v>13</v>
      </c>
      <c r="B12" s="17" t="s">
        <v>11</v>
      </c>
      <c r="C12" s="52">
        <f>Лева!C12/1.95583</f>
        <v>2556.4594059810925</v>
      </c>
      <c r="D12" s="52">
        <f>Лева!D12/1.95583</f>
        <v>2556.4594059810925</v>
      </c>
      <c r="E12" s="122">
        <f>Лева!E12/1.95583</f>
        <v>5112.9188119621849</v>
      </c>
      <c r="F12" s="39">
        <f>Лева!F12/1.95583</f>
        <v>2964.0561807519057</v>
      </c>
      <c r="G12" s="39">
        <f>Лева!G12/1.95583</f>
        <v>2654.7041409529456</v>
      </c>
      <c r="H12" s="39">
        <f>Лева!H12/1.95583</f>
        <v>5618.7603217048518</v>
      </c>
      <c r="I12" s="38">
        <f>Лева!I12/1.95583</f>
        <v>-407.59677477081323</v>
      </c>
      <c r="J12" s="39">
        <f>Лева!J12/1.95583</f>
        <v>-98.244734971853191</v>
      </c>
      <c r="K12" s="64">
        <f>Лева!K12/1.95583</f>
        <v>-505.8415097426664</v>
      </c>
      <c r="L12" s="38">
        <f>Лева!L12/1.95583</f>
        <v>3730.9940025462333</v>
      </c>
      <c r="M12" s="39">
        <f>Лева!M12/1.95583</f>
        <v>3575.0295271061391</v>
      </c>
      <c r="N12" s="64">
        <f>Лева!N12/1.95583</f>
        <v>7306.0235296523733</v>
      </c>
      <c r="O12" s="136">
        <f>Лева!O12/1.95583</f>
        <v>2556.4594059810925</v>
      </c>
      <c r="P12" s="152">
        <f>Лева!P12/1.95583</f>
        <v>2556.4594059810925</v>
      </c>
      <c r="Q12" s="160">
        <f>Лева!Q12/1.95583</f>
        <v>5112.9188119621849</v>
      </c>
      <c r="R12" s="108"/>
    </row>
    <row r="13" spans="1:19" x14ac:dyDescent="0.25">
      <c r="A13" s="3" t="s">
        <v>14</v>
      </c>
      <c r="B13" s="17" t="s">
        <v>11</v>
      </c>
      <c r="C13" s="52">
        <f>Лева!C13/1.95583</f>
        <v>460.16269307659667</v>
      </c>
      <c r="D13" s="52">
        <f>Лева!D13/1.95583</f>
        <v>1073.7129505120588</v>
      </c>
      <c r="E13" s="122">
        <f>Лева!E13/1.95583</f>
        <v>1533.8756435886555</v>
      </c>
      <c r="F13" s="39">
        <f>Лева!F13/1.95583</f>
        <v>198.14094271997055</v>
      </c>
      <c r="G13" s="39">
        <f>Лева!G13/1.95583</f>
        <v>639.50854624379417</v>
      </c>
      <c r="H13" s="39">
        <f>Лева!H13/1.95583</f>
        <v>837.64948896376472</v>
      </c>
      <c r="I13" s="38">
        <f>Лева!I13/1.95583</f>
        <v>262.02175035662611</v>
      </c>
      <c r="J13" s="39">
        <f>Лева!J13/1.95583</f>
        <v>434.20440426826462</v>
      </c>
      <c r="K13" s="64">
        <f>Лева!K13/1.95583</f>
        <v>696.2261546248908</v>
      </c>
      <c r="L13" s="38">
        <f>Лева!L13/1.95583</f>
        <v>607.17444767694531</v>
      </c>
      <c r="M13" s="39">
        <f>Лева!M13/1.95583</f>
        <v>1355.3171799185002</v>
      </c>
      <c r="N13" s="64">
        <f>Лева!N13/1.95583</f>
        <v>1962.4916275954456</v>
      </c>
      <c r="O13" s="136">
        <f>Лева!O13/1.95583</f>
        <v>460.16269307659667</v>
      </c>
      <c r="P13" s="152">
        <f>Лева!P13/1.95583</f>
        <v>1073.7129505120588</v>
      </c>
      <c r="Q13" s="160">
        <f>Лева!Q13/1.95583</f>
        <v>1533.8756435886555</v>
      </c>
      <c r="R13" s="115"/>
    </row>
    <row r="14" spans="1:19" x14ac:dyDescent="0.25">
      <c r="A14" s="3" t="s">
        <v>15</v>
      </c>
      <c r="B14" s="17" t="s">
        <v>11</v>
      </c>
      <c r="C14" s="52">
        <f>Лева!C14/1.95583</f>
        <v>0</v>
      </c>
      <c r="D14" s="52">
        <f>Лева!D14/1.95583</f>
        <v>1789.5215841867648</v>
      </c>
      <c r="E14" s="122">
        <f>Лева!E14/1.95583</f>
        <v>1789.5215841867648</v>
      </c>
      <c r="F14" s="39">
        <f>Лева!F14/1.95583</f>
        <v>0</v>
      </c>
      <c r="G14" s="39">
        <f>Лева!G14/1.95583</f>
        <v>1073.6362567298793</v>
      </c>
      <c r="H14" s="39">
        <f>Лева!H14/1.95583</f>
        <v>1073.6362567298793</v>
      </c>
      <c r="I14" s="38">
        <f>Лева!I14/1.95583</f>
        <v>0</v>
      </c>
      <c r="J14" s="39">
        <f>Лева!J14/1.95583</f>
        <v>715.88532745688542</v>
      </c>
      <c r="K14" s="64">
        <f>Лева!K14/1.95583</f>
        <v>715.88532745688542</v>
      </c>
      <c r="L14" s="38">
        <f>Лева!L14/1.95583</f>
        <v>0</v>
      </c>
      <c r="M14" s="39">
        <f>Лева!M14/1.95583</f>
        <v>2863.1578409166445</v>
      </c>
      <c r="N14" s="64">
        <f>Лева!N14/1.95583</f>
        <v>2863.1578409166445</v>
      </c>
      <c r="O14" s="136">
        <f>Лева!O14/1.95583</f>
        <v>0</v>
      </c>
      <c r="P14" s="153">
        <f>Лева!P14/1.95583</f>
        <v>1789.5215841867648</v>
      </c>
      <c r="Q14" s="160">
        <f>Лева!Q14/1.95583</f>
        <v>1789.5215841867648</v>
      </c>
      <c r="R14" s="108"/>
      <c r="S14" s="109"/>
    </row>
    <row r="15" spans="1:19" x14ac:dyDescent="0.25">
      <c r="A15" s="3" t="s">
        <v>16</v>
      </c>
      <c r="B15" s="17" t="s">
        <v>11</v>
      </c>
      <c r="C15" s="52">
        <f>Лева!C15/1.95583</f>
        <v>7669.3782179432774</v>
      </c>
      <c r="D15" s="52">
        <f>Лева!D15/1.95583</f>
        <v>5112.9188119621849</v>
      </c>
      <c r="E15" s="122">
        <f>Лева!E15/1.95583</f>
        <v>12782.297029905463</v>
      </c>
      <c r="F15" s="39">
        <f>Лева!F15/1.95583</f>
        <v>7402.0901612103298</v>
      </c>
      <c r="G15" s="39">
        <f>Лева!G15/1.95583</f>
        <v>4271.4397468082598</v>
      </c>
      <c r="H15" s="39">
        <f>Лева!H15/1.95583</f>
        <v>11673.529908018591</v>
      </c>
      <c r="I15" s="38">
        <f>Лева!I15/1.95583</f>
        <v>267.28805673294738</v>
      </c>
      <c r="J15" s="39">
        <f>Лева!J15/1.95583</f>
        <v>841.47906515392492</v>
      </c>
      <c r="K15" s="64">
        <f>Лева!K15/1.95583</f>
        <v>1108.7671218868722</v>
      </c>
      <c r="L15" s="38">
        <f>Лева!L15/1.95583</f>
        <v>8424.6739236027679</v>
      </c>
      <c r="M15" s="39">
        <f>Лева!M15/1.95583</f>
        <v>5498.5402616791844</v>
      </c>
      <c r="N15" s="64">
        <f>Лева!N15/1.95583</f>
        <v>13923.214185281951</v>
      </c>
      <c r="O15" s="136">
        <f>Лева!O15/1.95583</f>
        <v>7669.3782179432774</v>
      </c>
      <c r="P15" s="153">
        <f>Лева!P15/1.95583</f>
        <v>5112.9188119621849</v>
      </c>
      <c r="Q15" s="160">
        <f>Лева!Q15/1.95583</f>
        <v>12782.297029905463</v>
      </c>
      <c r="R15" s="108"/>
    </row>
    <row r="16" spans="1:19" x14ac:dyDescent="0.25">
      <c r="A16" s="3" t="s">
        <v>17</v>
      </c>
      <c r="B16" s="17" t="s">
        <v>11</v>
      </c>
      <c r="C16" s="52">
        <f>Лева!C16/1.95583</f>
        <v>2045.1675247848739</v>
      </c>
      <c r="D16" s="52">
        <f>Лева!D16/1.95583</f>
        <v>1022.5837623924369</v>
      </c>
      <c r="E16" s="122">
        <f>Лева!E16/1.95583</f>
        <v>3067.751287177311</v>
      </c>
      <c r="F16" s="39">
        <f>Лева!F16/1.95583</f>
        <v>8158.8379358124166</v>
      </c>
      <c r="G16" s="39">
        <f>Лева!G16/1.95583</f>
        <v>3081.4743612686175</v>
      </c>
      <c r="H16" s="39">
        <f>Лева!H16/1.95583</f>
        <v>11240.312297081035</v>
      </c>
      <c r="I16" s="38">
        <f>Лева!I16/1.95583</f>
        <v>-6113.6704110275432</v>
      </c>
      <c r="J16" s="39">
        <f>Лева!J16/1.95583</f>
        <v>-2058.8905988761808</v>
      </c>
      <c r="K16" s="64">
        <f>Лева!K16/1.95583</f>
        <v>-8172.561009903724</v>
      </c>
      <c r="L16" s="38">
        <f>Лева!L16/1.95583</f>
        <v>8772.3881932478798</v>
      </c>
      <c r="M16" s="39">
        <f>Лева!M16/1.95583</f>
        <v>3848.4121830629451</v>
      </c>
      <c r="N16" s="64">
        <f>Лева!N16/1.95583</f>
        <v>12620.800376310825</v>
      </c>
      <c r="O16" s="136">
        <f>Лева!O16/1.95583</f>
        <v>2045.1675247848739</v>
      </c>
      <c r="P16" s="153">
        <f>Лева!P16/1.95583</f>
        <v>1022.5837623924369</v>
      </c>
      <c r="Q16" s="160">
        <f>Лева!Q16/1.95583</f>
        <v>3067.751287177311</v>
      </c>
      <c r="R16" s="108"/>
    </row>
    <row r="17" spans="1:18" x14ac:dyDescent="0.25">
      <c r="A17" s="3" t="s">
        <v>18</v>
      </c>
      <c r="B17" s="17" t="s">
        <v>11</v>
      </c>
      <c r="C17" s="52">
        <f>Лева!C17/1.95583</f>
        <v>0</v>
      </c>
      <c r="D17" s="52">
        <f>Лева!D17/1.95583</f>
        <v>2556.4594059810925</v>
      </c>
      <c r="E17" s="122">
        <f>Лева!E17/1.95583</f>
        <v>2556.4594059810925</v>
      </c>
      <c r="F17" s="39">
        <f>Лева!F17/1.95583</f>
        <v>0</v>
      </c>
      <c r="G17" s="39">
        <f>Лева!G17/1.95583</f>
        <v>3282.4938772797227</v>
      </c>
      <c r="H17" s="39">
        <f>Лева!H17/1.95583</f>
        <v>3282.4938772797227</v>
      </c>
      <c r="I17" s="38">
        <f>Лева!I17/1.95583</f>
        <v>0</v>
      </c>
      <c r="J17" s="39">
        <f>Лева!J17/1.95583</f>
        <v>-726.03447129863025</v>
      </c>
      <c r="K17" s="64">
        <f>Лева!K17/1.95583</f>
        <v>-726.03447129863025</v>
      </c>
      <c r="L17" s="38">
        <f>Лева!L17/1.95583</f>
        <v>0</v>
      </c>
      <c r="M17" s="39">
        <f>Лева!M17/1.95583</f>
        <v>4305.0776396721594</v>
      </c>
      <c r="N17" s="64">
        <f>Лева!N17/1.95583</f>
        <v>4305.0776396721594</v>
      </c>
      <c r="O17" s="136">
        <f>Лева!O17/1.95583</f>
        <v>0</v>
      </c>
      <c r="P17" s="153">
        <f>Лева!P17/1.95583</f>
        <v>2556.4594059810925</v>
      </c>
      <c r="Q17" s="160">
        <f>Лева!Q17/1.95583</f>
        <v>2556.4594059810925</v>
      </c>
      <c r="R17" s="108"/>
    </row>
    <row r="18" spans="1:18" x14ac:dyDescent="0.25">
      <c r="A18" s="3" t="s">
        <v>19</v>
      </c>
      <c r="B18" s="17" t="s">
        <v>11</v>
      </c>
      <c r="C18" s="52">
        <f>Лева!C18/1.95583</f>
        <v>664.67944555508404</v>
      </c>
      <c r="D18" s="52">
        <f>Лева!D18/1.95583</f>
        <v>613.55025743546219</v>
      </c>
      <c r="E18" s="122">
        <f>Лева!E18/1.95583</f>
        <v>1278.2297029905462</v>
      </c>
      <c r="F18" s="39">
        <f>Лева!F18/1.95583</f>
        <v>239.9390540077614</v>
      </c>
      <c r="G18" s="39">
        <f>Лева!G18/1.95583</f>
        <v>172.56100990372374</v>
      </c>
      <c r="H18" s="39">
        <f>Лева!H18/1.95583</f>
        <v>412.50006391148514</v>
      </c>
      <c r="I18" s="38">
        <f>Лева!I18/1.95583</f>
        <v>424.74039154732264</v>
      </c>
      <c r="J18" s="39">
        <f>Лева!J18/1.95583</f>
        <v>440.98924753173844</v>
      </c>
      <c r="K18" s="64">
        <f>Лева!K18/1.95583</f>
        <v>865.72963907906114</v>
      </c>
      <c r="L18" s="38">
        <f>Лева!L18/1.95583</f>
        <v>664.67944555508404</v>
      </c>
      <c r="M18" s="39">
        <f>Лева!M18/1.95583</f>
        <v>511.29188119621847</v>
      </c>
      <c r="N18" s="64">
        <f>Лева!N18/1.95583</f>
        <v>1175.9713267513025</v>
      </c>
      <c r="O18" s="136">
        <f>Лева!O18/1.95583</f>
        <v>664.67944555508404</v>
      </c>
      <c r="P18" s="153">
        <f>Лева!P18/1.95583</f>
        <v>613.55025743546219</v>
      </c>
      <c r="Q18" s="160">
        <f>Лева!Q18/1.95583</f>
        <v>1278.2297029905462</v>
      </c>
      <c r="R18" s="108"/>
    </row>
    <row r="19" spans="1:18" x14ac:dyDescent="0.25">
      <c r="A19" s="12" t="s">
        <v>48</v>
      </c>
      <c r="B19" s="17" t="s">
        <v>11</v>
      </c>
      <c r="C19" s="52">
        <f>Лева!C19/1.95583</f>
        <v>69024.403961489501</v>
      </c>
      <c r="D19" s="52">
        <f>Лева!D19/1.95583</f>
        <v>0</v>
      </c>
      <c r="E19" s="122">
        <f>Лева!E19/1.95583</f>
        <v>69024.403961489501</v>
      </c>
      <c r="F19" s="39">
        <f>Лева!F19/1.95583</f>
        <v>65343.102416876725</v>
      </c>
      <c r="G19" s="39">
        <f>Лева!G19/1.95583</f>
        <v>0</v>
      </c>
      <c r="H19" s="39">
        <f>Лева!H19/1.95583</f>
        <v>65343.102416876725</v>
      </c>
      <c r="I19" s="38">
        <f>Лева!I19/1.95583</f>
        <v>3681.3015446127733</v>
      </c>
      <c r="J19" s="39">
        <f>Лева!J19/1.95583</f>
        <v>0</v>
      </c>
      <c r="K19" s="64">
        <f>Лева!K19/1.95583</f>
        <v>3681.3015446127733</v>
      </c>
      <c r="L19" s="38">
        <f>Лева!L19/1.95583</f>
        <v>65343.102416876725</v>
      </c>
      <c r="M19" s="39">
        <f>Лева!M19/1.95583</f>
        <v>0</v>
      </c>
      <c r="N19" s="64">
        <f>Лева!N19/1.95583</f>
        <v>65343.102416876725</v>
      </c>
      <c r="O19" s="136">
        <f>Лева!O19/1.95583</f>
        <v>69024.403961489501</v>
      </c>
      <c r="P19" s="153">
        <f>Лева!P19/1.95583</f>
        <v>0</v>
      </c>
      <c r="Q19" s="160">
        <f>Лева!Q19/1.95583</f>
        <v>69024.403961489501</v>
      </c>
      <c r="R19" s="108"/>
    </row>
    <row r="20" spans="1:18" x14ac:dyDescent="0.25">
      <c r="A20" s="3" t="s">
        <v>20</v>
      </c>
      <c r="B20" s="17" t="s">
        <v>11</v>
      </c>
      <c r="C20" s="52">
        <f>Лева!C20/1.95583</f>
        <v>511.29188119621847</v>
      </c>
      <c r="D20" s="52">
        <f>Лева!D20/1.95583</f>
        <v>511.29188119621847</v>
      </c>
      <c r="E20" s="122">
        <f>Лева!E20/1.95583</f>
        <v>1022.5837623924369</v>
      </c>
      <c r="F20" s="187">
        <f>Лева!F20/1.95583</f>
        <v>505.82617098623092</v>
      </c>
      <c r="G20" s="39">
        <f>Лева!G20/1.95583</f>
        <v>348.80843427087223</v>
      </c>
      <c r="H20" s="64">
        <f>Лева!H20/1.95583</f>
        <v>854.63460525710309</v>
      </c>
      <c r="I20" s="38">
        <f>Лева!I20/1.95583</f>
        <v>5.4657102099876038</v>
      </c>
      <c r="J20" s="39">
        <f>Лева!J20/1.95583</f>
        <v>162.48344692534627</v>
      </c>
      <c r="K20" s="64">
        <f>Лева!K20/1.95583</f>
        <v>167.94915713533385</v>
      </c>
      <c r="L20" s="38">
        <f>Лева!L20/1.95583</f>
        <v>505.82617098623092</v>
      </c>
      <c r="M20" s="39">
        <f>Лева!M20/1.95583</f>
        <v>348.80843427087223</v>
      </c>
      <c r="N20" s="64">
        <f>Лева!N20/1.95583</f>
        <v>854.63460525710309</v>
      </c>
      <c r="O20" s="136">
        <f>Лева!O20/1.95583</f>
        <v>511.29188119621847</v>
      </c>
      <c r="P20" s="153">
        <f>Лева!P20/1.95583</f>
        <v>511.29188119621847</v>
      </c>
      <c r="Q20" s="160">
        <f>Лева!Q20/1.95583</f>
        <v>1022.5837623924369</v>
      </c>
      <c r="R20" s="108"/>
    </row>
    <row r="21" spans="1:18" ht="16.5" thickBot="1" x14ac:dyDescent="0.3">
      <c r="A21" s="4" t="s">
        <v>21</v>
      </c>
      <c r="B21" s="18"/>
      <c r="C21" s="123">
        <f>Лева!C21/1.95583</f>
        <v>88044.461941988819</v>
      </c>
      <c r="D21" s="55">
        <f>Лева!D21/1.95583</f>
        <v>148274.64554690337</v>
      </c>
      <c r="E21" s="124">
        <f>Лева!E21/1.95583</f>
        <v>236319.10748889219</v>
      </c>
      <c r="F21" s="188">
        <f>Лева!F21/1.95583</f>
        <v>85911.602746659977</v>
      </c>
      <c r="G21" s="189">
        <f>Лева!G21/1.95583</f>
        <v>160370.77864640593</v>
      </c>
      <c r="H21" s="58">
        <f>Лева!H21/1.95583</f>
        <v>246282.38139306591</v>
      </c>
      <c r="I21" s="34">
        <f>Лева!I21/1.95583</f>
        <v>2132.8591953288383</v>
      </c>
      <c r="J21" s="35">
        <f>Лева!J21/1.95583</f>
        <v>-12096.133099502507</v>
      </c>
      <c r="K21" s="78">
        <f>Лева!K21/1.95583</f>
        <v>-9963.2739041736677</v>
      </c>
      <c r="L21" s="34">
        <f>Лева!L21/1.95583</f>
        <v>89659.740365982725</v>
      </c>
      <c r="M21" s="35">
        <f>Лева!M21/1.95583</f>
        <v>183768.77335964786</v>
      </c>
      <c r="N21" s="78">
        <f>Лева!N21/1.95583</f>
        <v>273428.51372563053</v>
      </c>
      <c r="O21" s="140">
        <f>Лева!O21/1.95583</f>
        <v>88044.461941988819</v>
      </c>
      <c r="P21" s="154">
        <f>Лева!P21/1.95583</f>
        <v>148274.64554690337</v>
      </c>
      <c r="Q21" s="164">
        <f>Лева!Q21/1.95583</f>
        <v>236319.10748889219</v>
      </c>
      <c r="R21" s="108"/>
    </row>
    <row r="22" spans="1:18" ht="16.5" thickTop="1" x14ac:dyDescent="0.25">
      <c r="A22" s="29" t="s">
        <v>22</v>
      </c>
      <c r="B22" s="26" t="s">
        <v>23</v>
      </c>
      <c r="C22" s="54">
        <f>Лева!C22/1.95583</f>
        <v>1124.8421386316807</v>
      </c>
      <c r="D22" s="54">
        <f>Лева!D22/1.95583</f>
        <v>664.67944555508404</v>
      </c>
      <c r="E22" s="125">
        <f>Лева!E22/1.95583</f>
        <v>1789.5215841867648</v>
      </c>
      <c r="F22" s="80">
        <f>Лева!F22/1.95583</f>
        <v>1162.6368344897053</v>
      </c>
      <c r="G22" s="81">
        <f>Лева!G22/1.95583</f>
        <v>302.87908458301592</v>
      </c>
      <c r="H22" s="67">
        <f>Лева!H22/1.95583</f>
        <v>1465.5159190727211</v>
      </c>
      <c r="I22" s="84">
        <f>Лева!I22/1.95583</f>
        <v>-37.794695858024511</v>
      </c>
      <c r="J22" s="40">
        <f>Лева!J22/1.95583</f>
        <v>361.80036097206812</v>
      </c>
      <c r="K22" s="68">
        <f>Лева!K22/1.95583</f>
        <v>324.00566511404361</v>
      </c>
      <c r="L22" s="84">
        <f>Лева!L22/1.95583</f>
        <v>1469.4119632074362</v>
      </c>
      <c r="M22" s="40">
        <f>Лева!M22/1.95583</f>
        <v>387.2933741685116</v>
      </c>
      <c r="N22" s="68">
        <f>Лева!N22/1.95583</f>
        <v>1856.7053373759479</v>
      </c>
      <c r="O22" s="141">
        <f>Лева!O22/1.95583</f>
        <v>1124.8421386316807</v>
      </c>
      <c r="P22" s="155">
        <f>Лева!P22/1.95583</f>
        <v>664.67944555508404</v>
      </c>
      <c r="Q22" s="165">
        <f>Лева!Q22/1.95583</f>
        <v>1789.5215841867648</v>
      </c>
      <c r="R22" s="108"/>
    </row>
    <row r="23" spans="1:18" x14ac:dyDescent="0.25">
      <c r="A23" s="1" t="s">
        <v>24</v>
      </c>
      <c r="B23" s="17" t="s">
        <v>23</v>
      </c>
      <c r="C23" s="52">
        <f>Лева!C23/1.95583</f>
        <v>5368.5647525602944</v>
      </c>
      <c r="D23" s="52">
        <f>Лева!D23/1.95583</f>
        <v>5112.9188119621849</v>
      </c>
      <c r="E23" s="117">
        <f>Лева!E23/1.95583</f>
        <v>10481.483564522479</v>
      </c>
      <c r="F23" s="75">
        <f>Лева!F23/1.95583</f>
        <v>6003.037073774306</v>
      </c>
      <c r="G23" s="66">
        <f>Лева!G23/1.95583</f>
        <v>4802.4214783493453</v>
      </c>
      <c r="H23" s="64">
        <f>Лева!H23/1.95583</f>
        <v>10805.458552123651</v>
      </c>
      <c r="I23" s="38">
        <f>Лева!I23/1.95583</f>
        <v>-634.47232121401146</v>
      </c>
      <c r="J23" s="39">
        <f>Лева!J23/1.95583</f>
        <v>310.4973336128399</v>
      </c>
      <c r="K23" s="64">
        <f>Лева!K23/1.95583</f>
        <v>-323.97498760117156</v>
      </c>
      <c r="L23" s="38">
        <f>Лева!L23/1.95583</f>
        <v>7658.1553611510199</v>
      </c>
      <c r="M23" s="39">
        <f>Лева!M23/1.95583</f>
        <v>6126.5191760020043</v>
      </c>
      <c r="N23" s="64">
        <f>Лева!N23/1.95583</f>
        <v>13784.674537153025</v>
      </c>
      <c r="O23" s="136">
        <f>Лева!O23/1.95583</f>
        <v>5368.5647525602944</v>
      </c>
      <c r="P23" s="153">
        <f>Лева!P23/1.95583</f>
        <v>5112.9188119621849</v>
      </c>
      <c r="Q23" s="160">
        <f>Лева!Q23/1.95583</f>
        <v>10481.483564522479</v>
      </c>
      <c r="R23" s="108"/>
    </row>
    <row r="24" spans="1:18" x14ac:dyDescent="0.25">
      <c r="A24" s="1" t="s">
        <v>25</v>
      </c>
      <c r="B24" s="17" t="s">
        <v>23</v>
      </c>
      <c r="C24" s="52">
        <f>Лева!C24/1.95583</f>
        <v>91265.600793524995</v>
      </c>
      <c r="D24" s="52">
        <f>Лева!D24/1.95583</f>
        <v>87686.557625151472</v>
      </c>
      <c r="E24" s="117">
        <f>Лева!E24/1.95583</f>
        <v>178952.15841867647</v>
      </c>
      <c r="F24" s="38">
        <f>Лева!F24/1.95583</f>
        <v>97743.06560386128</v>
      </c>
      <c r="G24" s="39">
        <f>Лева!G24/1.95583</f>
        <v>23962.425159650891</v>
      </c>
      <c r="H24" s="64">
        <f>Лева!H24/1.95583</f>
        <v>121705.49076351216</v>
      </c>
      <c r="I24" s="38">
        <f>Лева!I24/1.95583</f>
        <v>-6477.4648103362806</v>
      </c>
      <c r="J24" s="39">
        <f>Лева!J24/1.95583</f>
        <v>63724.132465500588</v>
      </c>
      <c r="K24" s="64">
        <f>Лева!K24/1.95583</f>
        <v>57246.667655164303</v>
      </c>
      <c r="L24" s="38">
        <f>Лева!L24/1.95583</f>
        <v>125864.1190696533</v>
      </c>
      <c r="M24" s="39">
        <f>Лева!M24/1.95583</f>
        <v>52594.770506639121</v>
      </c>
      <c r="N24" s="64">
        <f>Лева!N24/1.95583</f>
        <v>178458.88957629242</v>
      </c>
      <c r="O24" s="136">
        <f>Лева!O24/1.95583</f>
        <v>91265.600793524995</v>
      </c>
      <c r="P24" s="153">
        <f>Лева!P24/1.95583</f>
        <v>87686.557625151472</v>
      </c>
      <c r="Q24" s="160">
        <f>Лева!Q24/1.95583</f>
        <v>178952.15841867647</v>
      </c>
      <c r="R24" s="108"/>
    </row>
    <row r="25" spans="1:18" x14ac:dyDescent="0.25">
      <c r="A25" s="106" t="s">
        <v>59</v>
      </c>
      <c r="B25" s="20" t="s">
        <v>23</v>
      </c>
      <c r="C25" s="52">
        <f>Лева!C25/1.95583</f>
        <v>11861.971643752269</v>
      </c>
      <c r="D25" s="52">
        <f>Лева!D25/1.95583</f>
        <v>2454.2010297418487</v>
      </c>
      <c r="E25" s="117">
        <f>Лева!E25/1.95583</f>
        <v>14316.172673494118</v>
      </c>
      <c r="F25" s="185">
        <f>Лева!F25/1.95583</f>
        <v>5616.1834106236229</v>
      </c>
      <c r="G25" s="186">
        <f>Лева!G25/1.95583</f>
        <v>1080.0376310824561</v>
      </c>
      <c r="H25" s="64">
        <f>Лева!H25/1.95583</f>
        <v>6696.2210417060778</v>
      </c>
      <c r="I25" s="38">
        <f>Лева!I25/1.95583</f>
        <v>6245.7882331286464</v>
      </c>
      <c r="J25" s="39">
        <f>Лева!J25/1.95583</f>
        <v>1374.1633986593927</v>
      </c>
      <c r="K25" s="64">
        <f>Лева!K25/1.95583</f>
        <v>7619.9516317880398</v>
      </c>
      <c r="L25" s="38">
        <f>Лева!L25/1.95583</f>
        <v>12774.269747370681</v>
      </c>
      <c r="M25" s="39">
        <f>Лева!M25/1.95583</f>
        <v>2613.9132746711116</v>
      </c>
      <c r="N25" s="64">
        <f>Лева!N25/1.95583</f>
        <v>15388.183022041792</v>
      </c>
      <c r="O25" s="136">
        <f>Лева!O25/1.95583</f>
        <v>11861.971643752269</v>
      </c>
      <c r="P25" s="153">
        <f>Лева!P25/1.95583</f>
        <v>2454.2010297418487</v>
      </c>
      <c r="Q25" s="160">
        <f>Лева!Q25/1.95583</f>
        <v>14316.172673494118</v>
      </c>
      <c r="R25" s="108"/>
    </row>
    <row r="26" spans="1:18" ht="16.5" thickBot="1" x14ac:dyDescent="0.3">
      <c r="A26" s="70" t="s">
        <v>26</v>
      </c>
      <c r="B26" s="20"/>
      <c r="C26" s="55">
        <f>Лева!C26/1.95583</f>
        <v>109620.97932846924</v>
      </c>
      <c r="D26" s="55">
        <f>Лева!D26/1.95583</f>
        <v>95918.356912410585</v>
      </c>
      <c r="E26" s="126">
        <f>Лева!E26/1.95583</f>
        <v>205539.33624087984</v>
      </c>
      <c r="F26" s="34">
        <f>Лева!F26/1.95583</f>
        <v>110524.92292274891</v>
      </c>
      <c r="G26" s="35">
        <f>Лева!G26/1.95583</f>
        <v>30147.763353665709</v>
      </c>
      <c r="H26" s="78">
        <f>Лева!H26/1.95583</f>
        <v>140672.68627641461</v>
      </c>
      <c r="I26" s="41">
        <f>Лева!I26/1.95583</f>
        <v>-903.9435942796697</v>
      </c>
      <c r="J26" s="42">
        <f>Лева!J26/1.95583</f>
        <v>65770.593558744891</v>
      </c>
      <c r="K26" s="58">
        <f>Лева!K26/1.95583</f>
        <v>64866.649964465214</v>
      </c>
      <c r="L26" s="41">
        <f>Лева!L26/1.95583</f>
        <v>147765.95614138246</v>
      </c>
      <c r="M26" s="42">
        <f>Лева!M26/1.95583</f>
        <v>61722.496331480746</v>
      </c>
      <c r="N26" s="58">
        <f>Лева!N26/1.95583</f>
        <v>209488.45247286319</v>
      </c>
      <c r="O26" s="142">
        <f>Лева!O26/1.95583</f>
        <v>109620.97932846924</v>
      </c>
      <c r="P26" s="156">
        <f>Лева!P26/1.95583</f>
        <v>95918.356912410585</v>
      </c>
      <c r="Q26" s="166">
        <f>Лева!Q26/1.95583</f>
        <v>205539.33624087984</v>
      </c>
      <c r="R26" s="108"/>
    </row>
    <row r="27" spans="1:18" ht="16.5" thickTop="1" x14ac:dyDescent="0.25">
      <c r="A27" s="5" t="s">
        <v>27</v>
      </c>
      <c r="B27" s="16" t="s">
        <v>28</v>
      </c>
      <c r="C27" s="51">
        <f>Лева!C27/1.95583</f>
        <v>37579.953267922057</v>
      </c>
      <c r="D27" s="51">
        <f>Лева!D27/1.95583</f>
        <v>36557.369505529619</v>
      </c>
      <c r="E27" s="116">
        <f>Лева!E27/1.95583</f>
        <v>74137.322773451684</v>
      </c>
      <c r="F27" s="76">
        <f>Лева!F27/1.95583</f>
        <v>30688.53121181289</v>
      </c>
      <c r="G27" s="71">
        <f>Лева!G27/1.95583</f>
        <v>14208.208279860724</v>
      </c>
      <c r="H27" s="68">
        <f>Лева!H27/1.95583</f>
        <v>44896.739491673616</v>
      </c>
      <c r="I27" s="83">
        <f>Лева!I27/1.95583</f>
        <v>6891.4220561091697</v>
      </c>
      <c r="J27" s="43">
        <f>Лева!J27/1.95583</f>
        <v>22349.1612256689</v>
      </c>
      <c r="K27" s="67">
        <f>Лева!K27/1.95583</f>
        <v>29240.583281778068</v>
      </c>
      <c r="L27" s="83">
        <f>Лева!L27/1.95583</f>
        <v>35801.450023775076</v>
      </c>
      <c r="M27" s="43">
        <f>Лева!M27/1.95583</f>
        <v>24434.045903785092</v>
      </c>
      <c r="N27" s="67">
        <f>Лева!N27/1.95583</f>
        <v>60235.495927560165</v>
      </c>
      <c r="O27" s="139">
        <f>Лева!O27/1.95583</f>
        <v>37579.953267922057</v>
      </c>
      <c r="P27" s="151">
        <f>Лева!P27/1.95583</f>
        <v>36557.369505529619</v>
      </c>
      <c r="Q27" s="163">
        <f>Лева!Q27/1.95583</f>
        <v>74137.322773451684</v>
      </c>
      <c r="R27" s="108"/>
    </row>
    <row r="28" spans="1:18" x14ac:dyDescent="0.25">
      <c r="A28" s="1" t="s">
        <v>29</v>
      </c>
      <c r="B28" s="17" t="s">
        <v>28</v>
      </c>
      <c r="C28" s="52">
        <f>Лева!C28/1.95583</f>
        <v>511.29188119621847</v>
      </c>
      <c r="D28" s="52">
        <f>Лева!D28/1.95583</f>
        <v>511.29188119621847</v>
      </c>
      <c r="E28" s="117">
        <f>Лева!E28/1.95583</f>
        <v>1022.5837623924369</v>
      </c>
      <c r="F28" s="75">
        <f>Лева!F28/1.95583</f>
        <v>250.32850503366859</v>
      </c>
      <c r="G28" s="66">
        <f>Лева!G28/1.95583</f>
        <v>165.65856950757478</v>
      </c>
      <c r="H28" s="64">
        <f>Лева!H28/1.95583</f>
        <v>415.98707454124337</v>
      </c>
      <c r="I28" s="38">
        <f>Лева!I28/1.95583</f>
        <v>260.96337616254993</v>
      </c>
      <c r="J28" s="39">
        <f>Лева!J28/1.95583</f>
        <v>345.63331168864369</v>
      </c>
      <c r="K28" s="64">
        <f>Лева!K28/1.95583</f>
        <v>606.59668785119368</v>
      </c>
      <c r="L28" s="38">
        <f>Лева!L28/1.95583</f>
        <v>250.32850503366859</v>
      </c>
      <c r="M28" s="39">
        <f>Лева!M28/1.95583</f>
        <v>165.65856950757478</v>
      </c>
      <c r="N28" s="64">
        <f>Лева!N28/1.95583</f>
        <v>415.98707454124337</v>
      </c>
      <c r="O28" s="136">
        <f>Лева!O28/1.95583</f>
        <v>511.29188119621847</v>
      </c>
      <c r="P28" s="148">
        <f>Лева!P28/1.95583</f>
        <v>511.29188119621847</v>
      </c>
      <c r="Q28" s="160">
        <f>Лева!Q28/1.95583</f>
        <v>1022.5837623924369</v>
      </c>
      <c r="R28" s="108"/>
    </row>
    <row r="29" spans="1:18" x14ac:dyDescent="0.25">
      <c r="A29" s="1" t="s">
        <v>30</v>
      </c>
      <c r="B29" s="17" t="s">
        <v>28</v>
      </c>
      <c r="C29" s="52">
        <f>Лева!C29/1.95583</f>
        <v>3067.751287177311</v>
      </c>
      <c r="D29" s="52">
        <f>Лева!D29/1.95583</f>
        <v>2045.1675247848739</v>
      </c>
      <c r="E29" s="117">
        <f>Лева!E29/1.95583</f>
        <v>5112.9188119621849</v>
      </c>
      <c r="F29" s="75">
        <f>Лева!F29/1.95583</f>
        <v>8588.9520050311112</v>
      </c>
      <c r="G29" s="39">
        <f>Лева!G29/1.95583</f>
        <v>7234.6778605502523</v>
      </c>
      <c r="H29" s="64">
        <f>Лева!H29/1.95583</f>
        <v>15823.629865581364</v>
      </c>
      <c r="I29" s="38">
        <f>Лева!I29/1.95583</f>
        <v>-5521.2007178538006</v>
      </c>
      <c r="J29" s="39">
        <f>Лева!J29/1.95583</f>
        <v>-5189.5103357653779</v>
      </c>
      <c r="K29" s="64">
        <f>Лева!K29/1.95583</f>
        <v>-10710.711053619179</v>
      </c>
      <c r="L29" s="38">
        <f>Лева!L29/1.95583</f>
        <v>10634.119529815986</v>
      </c>
      <c r="M29" s="39">
        <f>Лева!M29/1.95583</f>
        <v>9279.8453853351257</v>
      </c>
      <c r="N29" s="64">
        <f>Лева!N29/1.95583</f>
        <v>19913.964915151115</v>
      </c>
      <c r="O29" s="136">
        <f>Лева!O29/1.95583</f>
        <v>3067.751287177311</v>
      </c>
      <c r="P29" s="148">
        <f>Лева!P29/1.95583</f>
        <v>2045.1675247848739</v>
      </c>
      <c r="Q29" s="160">
        <f>Лева!Q29/1.95583</f>
        <v>5112.9188119621849</v>
      </c>
      <c r="R29" s="108"/>
    </row>
    <row r="30" spans="1:18" x14ac:dyDescent="0.25">
      <c r="A30" s="1" t="s">
        <v>31</v>
      </c>
      <c r="B30" s="17" t="s">
        <v>28</v>
      </c>
      <c r="C30" s="52">
        <f>Лева!C30/1.95583</f>
        <v>18253.120158705002</v>
      </c>
      <c r="D30" s="52">
        <f>Лева!D30/1.95583</f>
        <v>17537.311525030294</v>
      </c>
      <c r="E30" s="117">
        <f>Лева!E30/1.95583</f>
        <v>35790.431683735296</v>
      </c>
      <c r="F30" s="75">
        <f>Лева!F30/1.95583</f>
        <v>13009.177689267473</v>
      </c>
      <c r="G30" s="66">
        <f>Лева!G30/1.95583</f>
        <v>12499.015763128698</v>
      </c>
      <c r="H30" s="64">
        <f>Лева!H30/1.95583</f>
        <v>25508.193452396172</v>
      </c>
      <c r="I30" s="38">
        <f>Лева!I30/1.95583</f>
        <v>5243.9424694375275</v>
      </c>
      <c r="J30" s="39">
        <f>Лева!J30/1.95583</f>
        <v>5038.2957619015961</v>
      </c>
      <c r="K30" s="64">
        <f>Лева!K30/1.95583</f>
        <v>10282.238231339124</v>
      </c>
      <c r="L30" s="38">
        <f>Лева!L30/1.95583</f>
        <v>17895.215841867648</v>
      </c>
      <c r="M30" s="39">
        <f>Лева!M30/1.95583</f>
        <v>17383.923960671429</v>
      </c>
      <c r="N30" s="64">
        <f>Лева!N30/1.95583</f>
        <v>35279.139802539074</v>
      </c>
      <c r="O30" s="143">
        <f>Лева!O30/1.95583</f>
        <v>18253.120158705002</v>
      </c>
      <c r="P30" s="148">
        <f>Лева!P30/1.95583</f>
        <v>17537.311525030294</v>
      </c>
      <c r="Q30" s="160">
        <f>Лева!Q30/1.95583</f>
        <v>35790.431683735296</v>
      </c>
      <c r="R30" s="108"/>
    </row>
    <row r="31" spans="1:18" x14ac:dyDescent="0.25">
      <c r="A31" s="1" t="s">
        <v>32</v>
      </c>
      <c r="B31" s="17" t="s">
        <v>28</v>
      </c>
      <c r="C31" s="52">
        <f>Лева!C31/1.95583</f>
        <v>920.32538615319334</v>
      </c>
      <c r="D31" s="52">
        <f>Лева!D31/1.95583</f>
        <v>613.55025743546219</v>
      </c>
      <c r="E31" s="117">
        <f>Лева!E31/1.95583</f>
        <v>1533.8756435886555</v>
      </c>
      <c r="F31" s="75">
        <f>Лева!F31/1.95583</f>
        <v>888.64062827546365</v>
      </c>
      <c r="G31" s="66">
        <f>Лева!G31/1.95583</f>
        <v>531.7537822816912</v>
      </c>
      <c r="H31" s="64">
        <f>Лева!H31/1.95583</f>
        <v>1420.394410557155</v>
      </c>
      <c r="I31" s="38">
        <f>Лева!I31/1.95583</f>
        <v>31.684757877729673</v>
      </c>
      <c r="J31" s="39">
        <f>Лева!J31/1.95583</f>
        <v>81.796475153771041</v>
      </c>
      <c r="K31" s="64">
        <f>Лева!K31/1.95583</f>
        <v>113.48123303150072</v>
      </c>
      <c r="L31" s="38">
        <f>Лева!L31/1.95583</f>
        <v>1227.1005148709244</v>
      </c>
      <c r="M31" s="39">
        <f>Лева!M31/1.95583</f>
        <v>731.14739011059248</v>
      </c>
      <c r="N31" s="64">
        <f>Лева!N31/1.95583</f>
        <v>1958.2479049815167</v>
      </c>
      <c r="O31" s="136">
        <f>Лева!O31/1.95583</f>
        <v>920.32538615319334</v>
      </c>
      <c r="P31" s="148">
        <f>Лева!P31/1.95583</f>
        <v>613.55025743546219</v>
      </c>
      <c r="Q31" s="160">
        <f>Лева!Q31/1.95583</f>
        <v>1533.8756435886555</v>
      </c>
      <c r="R31" s="108"/>
    </row>
    <row r="32" spans="1:18" ht="47.25" x14ac:dyDescent="0.25">
      <c r="A32" s="28" t="s">
        <v>49</v>
      </c>
      <c r="B32" s="17" t="s">
        <v>28</v>
      </c>
      <c r="C32" s="52">
        <f>Лева!C32/1.95583</f>
        <v>9816.804118967395</v>
      </c>
      <c r="D32" s="52">
        <f>Лева!D32/1.95583</f>
        <v>10021.320871445883</v>
      </c>
      <c r="E32" s="117">
        <f>Лева!E32/1.95583</f>
        <v>19838.124990413278</v>
      </c>
      <c r="F32" s="38">
        <f>Лева!F32/1.95583</f>
        <v>5417.3164334323528</v>
      </c>
      <c r="G32" s="39">
        <f>Лева!G32/1.95583</f>
        <v>5429.526083555319</v>
      </c>
      <c r="H32" s="64">
        <f>Лева!H32/1.95583</f>
        <v>10846.842516987672</v>
      </c>
      <c r="I32" s="38">
        <f>Лева!I32/1.95583</f>
        <v>4399.4876855350421</v>
      </c>
      <c r="J32" s="39">
        <f>Лева!J32/1.95583</f>
        <v>4591.7947878905634</v>
      </c>
      <c r="K32" s="64">
        <f>Лева!K32/1.95583</f>
        <v>8991.2824734256064</v>
      </c>
      <c r="L32" s="38">
        <f>Лева!L32/1.95583</f>
        <v>9203.2538615319336</v>
      </c>
      <c r="M32" s="39">
        <f>Лева!M32/1.95583</f>
        <v>8180.6700991394955</v>
      </c>
      <c r="N32" s="64">
        <f>Лева!N32/1.95583</f>
        <v>17383.923960671429</v>
      </c>
      <c r="O32" s="143">
        <f>Лева!O32/1.95583</f>
        <v>9816.804118967395</v>
      </c>
      <c r="P32" s="148">
        <f>Лева!P32/1.95583</f>
        <v>10021.320871445883</v>
      </c>
      <c r="Q32" s="160">
        <f>Лева!Q32/1.95583</f>
        <v>19838.124990413278</v>
      </c>
      <c r="R32" s="108"/>
    </row>
    <row r="33" spans="1:18" x14ac:dyDescent="0.25">
      <c r="A33" s="1" t="s">
        <v>50</v>
      </c>
      <c r="B33" s="17" t="s">
        <v>28</v>
      </c>
      <c r="C33" s="52">
        <f>Лева!C33/1.95583</f>
        <v>3067.751287177311</v>
      </c>
      <c r="D33" s="52">
        <f>Лева!D33/1.95583</f>
        <v>9714.5457427281508</v>
      </c>
      <c r="E33" s="117">
        <f>Лева!E33/1.95583</f>
        <v>12782.297029905463</v>
      </c>
      <c r="F33" s="75">
        <f>Лева!F33/1.95583</f>
        <v>17070.844603058547</v>
      </c>
      <c r="G33" s="66">
        <f>Лева!G33/1.95583</f>
        <v>12359.300143673017</v>
      </c>
      <c r="H33" s="64">
        <f>Лева!H33/1.95583</f>
        <v>29430.144746731567</v>
      </c>
      <c r="I33" s="38">
        <f>Лева!I33/1.95583</f>
        <v>-14003.093315881237</v>
      </c>
      <c r="J33" s="39">
        <f>Лева!J33/1.95583</f>
        <v>-2644.7544009448666</v>
      </c>
      <c r="K33" s="64">
        <f>Лева!K33/1.95583</f>
        <v>-16647.847716826102</v>
      </c>
      <c r="L33" s="38">
        <f>Лева!L33/1.95583</f>
        <v>17070.844603058547</v>
      </c>
      <c r="M33" s="39">
        <f>Лева!M33/1.95583</f>
        <v>17472.218955635206</v>
      </c>
      <c r="N33" s="64">
        <f>Лева!N33/1.95583</f>
        <v>34543.06355869375</v>
      </c>
      <c r="O33" s="143">
        <f>Лева!O33/1.95583</f>
        <v>3067.751287177311</v>
      </c>
      <c r="P33" s="148">
        <f>Лева!P33/1.95583</f>
        <v>9714.5457427281508</v>
      </c>
      <c r="Q33" s="160">
        <f>Лева!Q33/1.95583</f>
        <v>12782.297029905463</v>
      </c>
      <c r="R33" s="108"/>
    </row>
    <row r="34" spans="1:18" x14ac:dyDescent="0.25">
      <c r="A34" s="1" t="s">
        <v>33</v>
      </c>
      <c r="B34" s="17" t="s">
        <v>28</v>
      </c>
      <c r="C34" s="52">
        <f>Лева!C34/1.95583</f>
        <v>613.55025743546219</v>
      </c>
      <c r="D34" s="52">
        <f>Лева!D34/1.95583</f>
        <v>409.03350495697481</v>
      </c>
      <c r="E34" s="117">
        <f>Лева!E34/1.95583</f>
        <v>1022.5837623924369</v>
      </c>
      <c r="F34" s="38">
        <f>Лева!F34/1.95583</f>
        <v>833.91705823103234</v>
      </c>
      <c r="G34" s="39">
        <f>Лева!G34/1.95583</f>
        <v>406.09357664009656</v>
      </c>
      <c r="H34" s="64">
        <f>Лева!H34/1.95583</f>
        <v>1240.010634871129</v>
      </c>
      <c r="I34" s="38">
        <f>Лева!I34/1.95583</f>
        <v>-220.36680079557019</v>
      </c>
      <c r="J34" s="39">
        <f>Лева!J34/1.95583</f>
        <v>2.9399283168782562</v>
      </c>
      <c r="K34" s="64">
        <f>Лева!K34/1.95583</f>
        <v>-217.42687247869191</v>
      </c>
      <c r="L34" s="38">
        <f>Лева!L34/1.95583</f>
        <v>936.17543447027606</v>
      </c>
      <c r="M34" s="39">
        <f>Лева!M34/1.95583</f>
        <v>917.38545783631503</v>
      </c>
      <c r="N34" s="64">
        <f>Лева!N34/1.95583</f>
        <v>1853.5608923065911</v>
      </c>
      <c r="O34" s="136">
        <f>Лева!O34/1.95583</f>
        <v>613.55025743546219</v>
      </c>
      <c r="P34" s="148">
        <f>Лева!P34/1.95583</f>
        <v>409.03350495697481</v>
      </c>
      <c r="Q34" s="160">
        <f>Лева!Q34/1.95583</f>
        <v>1022.5837623924369</v>
      </c>
      <c r="R34" s="108"/>
    </row>
    <row r="35" spans="1:18" x14ac:dyDescent="0.25">
      <c r="A35" s="13" t="s">
        <v>46</v>
      </c>
      <c r="B35" s="17" t="s">
        <v>28</v>
      </c>
      <c r="C35" s="52">
        <f>Лева!C35/1.95583</f>
        <v>511.29188119621847</v>
      </c>
      <c r="D35" s="52">
        <f>Лева!D35/1.95583</f>
        <v>1022.5837623924369</v>
      </c>
      <c r="E35" s="117">
        <f>Лева!E35/1.95583</f>
        <v>1533.8756435886555</v>
      </c>
      <c r="F35" s="75">
        <f>Лева!F35/1.95583</f>
        <v>470.18401394804255</v>
      </c>
      <c r="G35" s="66">
        <f>Лева!G35/1.95583</f>
        <v>409.46299013717964</v>
      </c>
      <c r="H35" s="64">
        <f>Лева!H35/1.95583</f>
        <v>879.64700408522219</v>
      </c>
      <c r="I35" s="38">
        <f>Лева!I35/1.95583</f>
        <v>41.107867248175957</v>
      </c>
      <c r="J35" s="39">
        <f>Лева!J35/1.95583</f>
        <v>613.12077225525729</v>
      </c>
      <c r="K35" s="64">
        <f>Лева!K35/1.95583</f>
        <v>654.22863950343333</v>
      </c>
      <c r="L35" s="38">
        <f>Лева!L35/1.95583</f>
        <v>470.18401394804255</v>
      </c>
      <c r="M35" s="39">
        <f>Лева!M35/1.95583</f>
        <v>409.46299013717964</v>
      </c>
      <c r="N35" s="64">
        <f>Лева!N35/1.95583</f>
        <v>879.64700408522219</v>
      </c>
      <c r="O35" s="136">
        <f>Лева!O35/1.95583</f>
        <v>511.29188119621847</v>
      </c>
      <c r="P35" s="148">
        <f>Лева!P35/1.95583</f>
        <v>1022.5837623924369</v>
      </c>
      <c r="Q35" s="160">
        <f>Лева!Q35/1.95583</f>
        <v>1533.8756435886555</v>
      </c>
      <c r="R35" s="108"/>
    </row>
    <row r="36" spans="1:18" ht="16.5" thickBot="1" x14ac:dyDescent="0.3">
      <c r="A36" s="30" t="s">
        <v>34</v>
      </c>
      <c r="B36" s="57"/>
      <c r="C36" s="127">
        <f>Лева!C36/1.95583</f>
        <v>74341.839525930176</v>
      </c>
      <c r="D36" s="56">
        <f>Лева!D36/1.95583</f>
        <v>78432.174575499914</v>
      </c>
      <c r="E36" s="126">
        <f>Лева!E36/1.95583</f>
        <v>152774.01410143008</v>
      </c>
      <c r="F36" s="34">
        <f>Лева!F36/1.95583</f>
        <v>77217.89214809057</v>
      </c>
      <c r="G36" s="35">
        <f>Лева!G36/1.95583</f>
        <v>53243.697049334551</v>
      </c>
      <c r="H36" s="78">
        <f>Лева!H36/1.95583</f>
        <v>130461.58919742513</v>
      </c>
      <c r="I36" s="34">
        <f>Лева!I36/1.95583</f>
        <v>-2876.0526221604136</v>
      </c>
      <c r="J36" s="35">
        <f>Лева!J36/1.95583</f>
        <v>25188.477526165367</v>
      </c>
      <c r="K36" s="78">
        <f>Лева!K36/1.95583</f>
        <v>22312.424904004947</v>
      </c>
      <c r="L36" s="34">
        <f>Лева!L36/1.95583</f>
        <v>93488.672328372093</v>
      </c>
      <c r="M36" s="35">
        <f>Лева!M36/1.95583</f>
        <v>78974.35871215802</v>
      </c>
      <c r="N36" s="78">
        <f>Лева!N36/1.95583</f>
        <v>172463.0310405301</v>
      </c>
      <c r="O36" s="140">
        <f>Лева!O36/1.95583</f>
        <v>74341.839525930176</v>
      </c>
      <c r="P36" s="59">
        <f>Лева!P36/1.95583</f>
        <v>78432.174575499914</v>
      </c>
      <c r="Q36" s="164">
        <f>Лева!Q36/1.95583</f>
        <v>152774.01410143008</v>
      </c>
      <c r="R36" s="108"/>
    </row>
    <row r="37" spans="1:18" ht="17.25" thickTop="1" thickBot="1" x14ac:dyDescent="0.3">
      <c r="A37" s="6" t="s">
        <v>53</v>
      </c>
      <c r="B37" s="25" t="s">
        <v>54</v>
      </c>
      <c r="C37" s="128">
        <f>Лева!C37/1.95583</f>
        <v>8691.9619803357145</v>
      </c>
      <c r="D37" s="79">
        <f>Лева!D37/1.95583</f>
        <v>5624.210693158403</v>
      </c>
      <c r="E37" s="129">
        <f>Лева!E37/1.95583</f>
        <v>14316.172673494118</v>
      </c>
      <c r="F37" s="105">
        <f>Лева!F37/1.95583</f>
        <v>14122.658922298973</v>
      </c>
      <c r="G37" s="103">
        <f>Лева!G37/1.95583</f>
        <v>2715.8955532945092</v>
      </c>
      <c r="H37" s="104">
        <f>Лева!H37/1.95583</f>
        <v>16838.554475593482</v>
      </c>
      <c r="I37" s="105">
        <f>Лева!I37/1.95583</f>
        <v>-5430.6969419632587</v>
      </c>
      <c r="J37" s="103">
        <f>Лева!J37/1.95583</f>
        <v>2908.3151398638943</v>
      </c>
      <c r="K37" s="104">
        <f>Лева!K37/1.95583</f>
        <v>-2522.3818020993649</v>
      </c>
      <c r="L37" s="105">
        <f>Лева!L37/1.95583</f>
        <v>14122.658922298973</v>
      </c>
      <c r="M37" s="103">
        <f>Лева!M37/1.95583</f>
        <v>2715.8955532945092</v>
      </c>
      <c r="N37" s="72">
        <f>Лева!N37/1.95583</f>
        <v>16838.554475593482</v>
      </c>
      <c r="O37" s="144">
        <f>Лева!O37/1.95583</f>
        <v>8691.9619803357145</v>
      </c>
      <c r="P37" s="157">
        <f>Лева!P37/1.95583</f>
        <v>5624.210693158403</v>
      </c>
      <c r="Q37" s="162">
        <f>Лева!Q37/1.95583</f>
        <v>14316.172673494118</v>
      </c>
      <c r="R37" s="108"/>
    </row>
    <row r="38" spans="1:18" ht="17.25" thickTop="1" thickBot="1" x14ac:dyDescent="0.3">
      <c r="A38" s="21" t="s">
        <v>35</v>
      </c>
      <c r="B38" s="27" t="s">
        <v>36</v>
      </c>
      <c r="C38" s="130">
        <f>Лева!C38/1.95583</f>
        <v>511.29188119621847</v>
      </c>
      <c r="D38" s="131">
        <f>Лева!D38/1.95583</f>
        <v>511.29188119621847</v>
      </c>
      <c r="E38" s="132">
        <f>Лева!E38/1.95583</f>
        <v>1022.5837623924369</v>
      </c>
      <c r="F38" s="45">
        <f>Лева!F38/1.95583</f>
        <v>434.18906551182874</v>
      </c>
      <c r="G38" s="46">
        <f>Лева!G38/1.95583</f>
        <v>673.06463240670212</v>
      </c>
      <c r="H38" s="69">
        <f>Лева!H38/1.95583</f>
        <v>1107.2536979185309</v>
      </c>
      <c r="I38" s="45">
        <f>Лева!I38/1.95583</f>
        <v>77.102815684389725</v>
      </c>
      <c r="J38" s="46">
        <f>Лева!J38/1.95583</f>
        <v>-161.77275121048359</v>
      </c>
      <c r="K38" s="69">
        <f>Лева!K38/1.95583</f>
        <v>-84.669935526093852</v>
      </c>
      <c r="L38" s="45">
        <f>Лева!L38/1.95583</f>
        <v>485.3182536314506</v>
      </c>
      <c r="M38" s="46">
        <f>Лева!M38/1.95583</f>
        <v>724.19382052632398</v>
      </c>
      <c r="N38" s="69">
        <f>Лева!N38/1.95583</f>
        <v>1209.5120741577746</v>
      </c>
      <c r="O38" s="145">
        <f>Лева!O38/1.95583</f>
        <v>511.29188119621847</v>
      </c>
      <c r="P38" s="158">
        <f>Лева!P38/1.95583</f>
        <v>511.29188119621847</v>
      </c>
      <c r="Q38" s="167">
        <f>Лева!Q38/1.95583</f>
        <v>1022.5837623924369</v>
      </c>
      <c r="R38" s="108"/>
    </row>
    <row r="39" spans="1:18" ht="17.25" thickTop="1" thickBot="1" x14ac:dyDescent="0.3">
      <c r="A39" s="7" t="s">
        <v>37</v>
      </c>
      <c r="B39" s="25" t="s">
        <v>38</v>
      </c>
      <c r="C39" s="133">
        <f>Лева!C39/1.95583</f>
        <v>10737.129505120589</v>
      </c>
      <c r="D39" s="53">
        <f>Лева!D39/1.95583</f>
        <v>9714.5457427281508</v>
      </c>
      <c r="E39" s="134">
        <f>Лева!E39/1.95583</f>
        <v>20451.67524784874</v>
      </c>
      <c r="F39" s="110">
        <f>Лева!F39/1.95583</f>
        <v>11668.151117428406</v>
      </c>
      <c r="G39" s="44">
        <f>Лева!G39/1.95583</f>
        <v>9175.8435037810032</v>
      </c>
      <c r="H39" s="72">
        <f>Лева!H39/1.95583</f>
        <v>20843.994621209407</v>
      </c>
      <c r="I39" s="94">
        <f>Лева!I39/1.95583</f>
        <v>-931.02161230781724</v>
      </c>
      <c r="J39" s="95">
        <f>Лева!J39/1.95583</f>
        <v>538.70223894714809</v>
      </c>
      <c r="K39" s="72">
        <f>Лева!K39/1.95583</f>
        <v>-392.3193733606692</v>
      </c>
      <c r="L39" s="110">
        <f>Лева!L39/1.95583</f>
        <v>12537.347315461977</v>
      </c>
      <c r="M39" s="44">
        <f>Лева!M39/1.95583</f>
        <v>10351.814830532307</v>
      </c>
      <c r="N39" s="72">
        <f>Лева!N39/1.95583</f>
        <v>22889.162145994283</v>
      </c>
      <c r="O39" s="138">
        <f>Лева!O39/1.95583</f>
        <v>10737.129505120589</v>
      </c>
      <c r="P39" s="157">
        <f>Лева!P39/1.95583</f>
        <v>9714.5457427281508</v>
      </c>
      <c r="Q39" s="162">
        <f>Лева!Q39/1.95583</f>
        <v>20451.67524784874</v>
      </c>
      <c r="R39" s="108"/>
    </row>
    <row r="40" spans="1:18" ht="17.25" thickTop="1" thickBot="1" x14ac:dyDescent="0.3">
      <c r="A40" s="7" t="s">
        <v>52</v>
      </c>
      <c r="B40" s="25" t="s">
        <v>51</v>
      </c>
      <c r="C40" s="133">
        <f>Лева!C40/1.95583</f>
        <v>0</v>
      </c>
      <c r="D40" s="53">
        <f>Лева!D40/1.95583</f>
        <v>0</v>
      </c>
      <c r="E40" s="134">
        <f>Лева!E40/1.95583</f>
        <v>0</v>
      </c>
      <c r="F40" s="110">
        <f>Лева!F40/1.95583</f>
        <v>0</v>
      </c>
      <c r="G40" s="44">
        <f>Лева!G40/1.95583</f>
        <v>0</v>
      </c>
      <c r="H40" s="72">
        <f>Лева!H40/1.95583</f>
        <v>0</v>
      </c>
      <c r="I40" s="94">
        <f>Лева!I40/1.95583</f>
        <v>0</v>
      </c>
      <c r="J40" s="95">
        <f>Лева!J40/1.95583</f>
        <v>0</v>
      </c>
      <c r="K40" s="72">
        <f>Лева!K40/1.95583</f>
        <v>0</v>
      </c>
      <c r="L40" s="45">
        <f>Лева!L40/1.95583</f>
        <v>0</v>
      </c>
      <c r="M40" s="46">
        <f>Лева!M40/1.95583</f>
        <v>0</v>
      </c>
      <c r="N40" s="69">
        <f>Лева!N40/1.95583</f>
        <v>0</v>
      </c>
      <c r="O40" s="145">
        <f>Лева!O40/1.95583</f>
        <v>0</v>
      </c>
      <c r="P40" s="158">
        <f>Лева!P40/1.95583</f>
        <v>0</v>
      </c>
      <c r="Q40" s="162">
        <f>Лева!Q40/1.95583</f>
        <v>0</v>
      </c>
      <c r="R40" s="108"/>
    </row>
    <row r="41" spans="1:18" ht="17.25" thickTop="1" thickBot="1" x14ac:dyDescent="0.3">
      <c r="A41" s="19" t="s">
        <v>39</v>
      </c>
      <c r="B41" s="27" t="s">
        <v>40</v>
      </c>
      <c r="C41" s="130">
        <f>Лева!C41/1.95583</f>
        <v>255.64594059810923</v>
      </c>
      <c r="D41" s="131">
        <f>Лева!D41/1.95583</f>
        <v>255.64594059810923</v>
      </c>
      <c r="E41" s="132">
        <f>Лева!E41/1.95583</f>
        <v>511.29188119621847</v>
      </c>
      <c r="F41" s="45">
        <f>Лева!F41/1.95583</f>
        <v>269.80872570724455</v>
      </c>
      <c r="G41" s="46">
        <f>Лева!G41/1.95583</f>
        <v>259.23009668529471</v>
      </c>
      <c r="H41" s="69">
        <f>Лева!H41/1.95583</f>
        <v>529.03882239253926</v>
      </c>
      <c r="I41" s="94">
        <f>Лева!I41/1.95583</f>
        <v>-14.162785109135276</v>
      </c>
      <c r="J41" s="95">
        <f>Лева!J41/1.95583</f>
        <v>-3.5841560871854869</v>
      </c>
      <c r="K41" s="90">
        <f>Лева!K41/1.95583</f>
        <v>-17.746941196320762</v>
      </c>
      <c r="L41" s="110">
        <f>Лева!L41/1.95583</f>
        <v>469.21255937376975</v>
      </c>
      <c r="M41" s="44">
        <f>Лева!M41/1.95583</f>
        <v>259.23009668529471</v>
      </c>
      <c r="N41" s="72">
        <f>Лева!N41/1.95583</f>
        <v>728.44265605906446</v>
      </c>
      <c r="O41" s="138">
        <f>Лева!O41/1.95583</f>
        <v>255.64594059810923</v>
      </c>
      <c r="P41" s="157">
        <f>Лева!P41/1.95583</f>
        <v>281.21053465792016</v>
      </c>
      <c r="Q41" s="162">
        <f>Лева!Q41/1.95583</f>
        <v>536.8564752560294</v>
      </c>
      <c r="R41" s="108"/>
    </row>
    <row r="42" spans="1:18" ht="17.25" thickTop="1" thickBot="1" x14ac:dyDescent="0.3">
      <c r="A42" s="7" t="s">
        <v>41</v>
      </c>
      <c r="B42" s="25" t="s">
        <v>42</v>
      </c>
      <c r="C42" s="133">
        <f>Лева!C42/1.95583</f>
        <v>3834.6891089716387</v>
      </c>
      <c r="D42" s="53">
        <f>Лева!D42/1.95583</f>
        <v>4090.3350495697478</v>
      </c>
      <c r="E42" s="134">
        <f>Лева!E42/1.95583</f>
        <v>7925.0241585413869</v>
      </c>
      <c r="F42" s="110">
        <f>Лева!F42/1.95583</f>
        <v>3869.7944095345711</v>
      </c>
      <c r="G42" s="44">
        <f>Лева!G42/1.95583</f>
        <v>4396.2051916577611</v>
      </c>
      <c r="H42" s="72">
        <f>Лева!H42/1.95583</f>
        <v>8265.9996011923322</v>
      </c>
      <c r="I42" s="94">
        <f>Лева!I42/1.95583</f>
        <v>-35.105300562932285</v>
      </c>
      <c r="J42" s="95">
        <f>Лева!J42/1.95583</f>
        <v>-305.87014208801355</v>
      </c>
      <c r="K42" s="72">
        <f>Лева!K42/1.95583</f>
        <v>-340.97544265094587</v>
      </c>
      <c r="L42" s="45">
        <f>Лева!L42/1.95583</f>
        <v>3869.7944095345711</v>
      </c>
      <c r="M42" s="46">
        <f>Лева!M42/1.95583</f>
        <v>4396.2051916577611</v>
      </c>
      <c r="N42" s="69">
        <f>Лева!N42/1.95583</f>
        <v>8265.9996011923322</v>
      </c>
      <c r="O42" s="145">
        <f>Лева!O42/1.95583</f>
        <v>3834.6891089716387</v>
      </c>
      <c r="P42" s="158">
        <f>Лева!P42/1.95583</f>
        <v>4090.3350495697478</v>
      </c>
      <c r="Q42" s="162">
        <f>Лева!Q42/1.95583</f>
        <v>7925.0241585413869</v>
      </c>
      <c r="R42" s="108"/>
    </row>
    <row r="43" spans="1:18" ht="17.25" thickTop="1" thickBot="1" x14ac:dyDescent="0.3">
      <c r="A43" s="19" t="s">
        <v>43</v>
      </c>
      <c r="B43" s="27"/>
      <c r="C43" s="130">
        <f>Лева!C43/1.95583</f>
        <v>226553.43255804441</v>
      </c>
      <c r="D43" s="131">
        <f>Лева!D43/1.95583</f>
        <v>178952.15841867647</v>
      </c>
      <c r="E43" s="132">
        <f>Лева!E43/1.95583</f>
        <v>405505.59097672091</v>
      </c>
      <c r="F43" s="45">
        <f>Лева!F43/1.95583</f>
        <v>11810.842455632648</v>
      </c>
      <c r="G43" s="46">
        <f>Лева!G43/1.95583</f>
        <v>0</v>
      </c>
      <c r="H43" s="69">
        <f>Лева!H43/1.95583</f>
        <v>11810.842455632648</v>
      </c>
      <c r="I43" s="94">
        <f>Лева!I43/1.95583</f>
        <v>214742.59010241178</v>
      </c>
      <c r="J43" s="95">
        <f>Лева!J43/1.95583</f>
        <v>178952.15841867647</v>
      </c>
      <c r="K43" s="72">
        <f>Лева!K43/1.95583</f>
        <v>393694.74852108822</v>
      </c>
      <c r="L43" s="110">
        <f>Лева!L43/1.95583</f>
        <v>226246.65742932667</v>
      </c>
      <c r="M43" s="44">
        <f>Лева!M43/1.95583</f>
        <v>172884.35088939226</v>
      </c>
      <c r="N43" s="72">
        <f>Лева!N43/1.95583</f>
        <v>399131.00831871893</v>
      </c>
      <c r="O43" s="138">
        <f>Лева!O43/1.95583</f>
        <v>332595.36871814012</v>
      </c>
      <c r="P43" s="157">
        <f>Лева!P43/1.95583</f>
        <v>222411.96832035505</v>
      </c>
      <c r="Q43" s="162">
        <f>Лева!Q43/1.95583</f>
        <v>555007.33703849523</v>
      </c>
      <c r="R43" s="108"/>
    </row>
    <row r="44" spans="1:18" ht="17.25" thickTop="1" thickBot="1" x14ac:dyDescent="0.3">
      <c r="A44" s="22" t="s">
        <v>44</v>
      </c>
      <c r="B44" s="25"/>
      <c r="C44" s="135">
        <f>Лева!C44/1.95583</f>
        <v>1350884.2793085289</v>
      </c>
      <c r="D44" s="135">
        <f>Лева!D44/1.95583</f>
        <v>1230935.2039798959</v>
      </c>
      <c r="E44" s="135">
        <f>Лева!E44/1.95583</f>
        <v>2581819.483288425</v>
      </c>
      <c r="F44" s="36">
        <f>Лева!F44/1.95583</f>
        <v>842472.12181017781</v>
      </c>
      <c r="G44" s="37">
        <f>Лева!G44/1.95583</f>
        <v>686637.1259260776</v>
      </c>
      <c r="H44" s="77">
        <f>Лева!H44/1.95583</f>
        <v>1529109.2477362554</v>
      </c>
      <c r="I44" s="36">
        <f>Лева!I44/1.95583</f>
        <v>508412.15749835101</v>
      </c>
      <c r="J44" s="37">
        <f>Лева!J44/1.95583</f>
        <v>544298.07805381855</v>
      </c>
      <c r="K44" s="77">
        <f>Лева!K44/1.95583</f>
        <v>1052710.2355521698</v>
      </c>
      <c r="L44" s="111">
        <f>Лева!L44/1.95583</f>
        <v>1322751.476355307</v>
      </c>
      <c r="M44" s="112">
        <f>Лева!M44/1.95583</f>
        <v>1268420.6398306603</v>
      </c>
      <c r="N44" s="113">
        <f>Лева!N44/1.95583</f>
        <v>2591172.1161859673</v>
      </c>
      <c r="O44" s="146">
        <f>Лева!O44/1.95583</f>
        <v>1511634.44675662</v>
      </c>
      <c r="P44" s="146">
        <f>Лева!P44/1.95583</f>
        <v>1401732.2568934928</v>
      </c>
      <c r="Q44" s="146">
        <f>Лева!Q44/1.95583</f>
        <v>2913366.7036501127</v>
      </c>
      <c r="R44" s="108"/>
    </row>
    <row r="45" spans="1:18" ht="16.5" thickTop="1" x14ac:dyDescent="0.25">
      <c r="A45" s="23"/>
      <c r="B45" s="24"/>
      <c r="C45" s="33">
        <f>Лева!C45/1.95583</f>
        <v>1124330.8467504845</v>
      </c>
      <c r="D45" s="33">
        <f>Лева!D45/1.95583</f>
        <v>1051983.0455612196</v>
      </c>
      <c r="E45" s="33">
        <f>Лева!E45/1.95583</f>
        <v>2176313.8923117039</v>
      </c>
      <c r="N45" s="196" t="s">
        <v>76</v>
      </c>
      <c r="O45" s="147">
        <f>Лева!O45/1.95583</f>
        <v>1179039.0780384799</v>
      </c>
      <c r="P45" s="159">
        <f>Лева!P45/1.95583</f>
        <v>1179320.2885731377</v>
      </c>
      <c r="Q45" s="147">
        <f>Лева!Q45/1.95583</f>
        <v>2358359.3666116176</v>
      </c>
    </row>
    <row r="46" spans="1:18" x14ac:dyDescent="0.25">
      <c r="A46" s="10"/>
      <c r="C46" s="197"/>
      <c r="D46" s="197"/>
      <c r="E46" s="197"/>
      <c r="F46" s="197"/>
    </row>
    <row r="47" spans="1:18" x14ac:dyDescent="0.25">
      <c r="A47" s="10"/>
      <c r="C47" s="32"/>
      <c r="D47" s="32"/>
      <c r="E47" s="85"/>
      <c r="F47" s="191"/>
    </row>
    <row r="48" spans="1:18" x14ac:dyDescent="0.25">
      <c r="A48" s="10"/>
      <c r="C48" s="48"/>
      <c r="D48" s="48"/>
      <c r="E48" s="91"/>
      <c r="F48" s="192"/>
      <c r="G48" s="192"/>
      <c r="H48" s="193"/>
      <c r="I48" s="193"/>
    </row>
    <row r="49" spans="1:9" x14ac:dyDescent="0.25">
      <c r="A49" s="10"/>
      <c r="C49" s="48"/>
      <c r="D49" s="48"/>
      <c r="E49" s="91"/>
      <c r="F49" s="88"/>
      <c r="G49" s="88"/>
      <c r="H49" s="92"/>
      <c r="I49" s="92"/>
    </row>
    <row r="50" spans="1:9" x14ac:dyDescent="0.25">
      <c r="A50" s="10"/>
      <c r="C50" s="48"/>
      <c r="D50" s="89"/>
      <c r="E50" s="93"/>
      <c r="F50" s="88"/>
      <c r="G50" s="88"/>
      <c r="H50" s="88"/>
      <c r="I50" s="88"/>
    </row>
    <row r="51" spans="1:9" x14ac:dyDescent="0.25">
      <c r="A51" s="31"/>
      <c r="C51" s="49"/>
      <c r="D51" s="49"/>
      <c r="E51" s="50"/>
    </row>
    <row r="52" spans="1:9" x14ac:dyDescent="0.25">
      <c r="A52" s="10"/>
      <c r="C52" s="47"/>
      <c r="D52" s="47"/>
      <c r="E52" s="47"/>
    </row>
    <row r="53" spans="1:9" x14ac:dyDescent="0.25">
      <c r="A53" s="10"/>
      <c r="C53" s="47"/>
      <c r="D53" s="47"/>
      <c r="E53" s="47"/>
    </row>
    <row r="54" spans="1:9" x14ac:dyDescent="0.25">
      <c r="A54" s="10"/>
      <c r="C54" s="47"/>
      <c r="D54" s="47"/>
      <c r="E54" s="47"/>
    </row>
    <row r="55" spans="1:9" x14ac:dyDescent="0.25">
      <c r="A55" s="10"/>
      <c r="C55" s="47"/>
      <c r="D55" s="47"/>
      <c r="E55" s="47"/>
    </row>
    <row r="56" spans="1:9" x14ac:dyDescent="0.25">
      <c r="A56" s="10"/>
      <c r="C56" s="47"/>
      <c r="D56" s="47"/>
      <c r="E56" s="47"/>
    </row>
    <row r="57" spans="1:9" x14ac:dyDescent="0.25">
      <c r="C57" s="47"/>
      <c r="D57" s="47"/>
      <c r="E57" s="47"/>
    </row>
    <row r="58" spans="1:9" x14ac:dyDescent="0.25">
      <c r="A58" s="10"/>
      <c r="C58" s="47"/>
      <c r="D58" s="47"/>
      <c r="E58" s="47"/>
    </row>
    <row r="59" spans="1:9" x14ac:dyDescent="0.25">
      <c r="A59" s="11"/>
      <c r="C59" s="47"/>
      <c r="D59" s="47"/>
      <c r="E59" s="47"/>
    </row>
    <row r="60" spans="1:9" x14ac:dyDescent="0.25">
      <c r="A60" s="11"/>
      <c r="C60" s="47"/>
      <c r="D60" s="47"/>
      <c r="E60" s="47"/>
    </row>
    <row r="61" spans="1:9" x14ac:dyDescent="0.25">
      <c r="A61" s="11"/>
      <c r="C61" s="47"/>
      <c r="D61" s="47"/>
      <c r="E61" s="47"/>
    </row>
    <row r="62" spans="1:9" x14ac:dyDescent="0.25">
      <c r="A62" s="11"/>
      <c r="C62" s="47"/>
      <c r="D62" s="47"/>
      <c r="E62" s="47"/>
    </row>
    <row r="63" spans="1:9" x14ac:dyDescent="0.25">
      <c r="A63" s="11"/>
      <c r="C63" s="47"/>
      <c r="D63" s="47"/>
      <c r="E63" s="47"/>
    </row>
    <row r="64" spans="1:9" x14ac:dyDescent="0.25">
      <c r="A64" s="11"/>
      <c r="C64" s="47"/>
      <c r="D64" s="47"/>
      <c r="E64" s="47"/>
    </row>
    <row r="65" spans="1:5" x14ac:dyDescent="0.25">
      <c r="A65" s="11"/>
      <c r="C65" s="47"/>
      <c r="D65" s="47"/>
      <c r="E65" s="47"/>
    </row>
    <row r="66" spans="1:5" x14ac:dyDescent="0.25">
      <c r="A66" s="10"/>
      <c r="C66" s="47"/>
      <c r="D66" s="47"/>
      <c r="E66" s="47"/>
    </row>
    <row r="67" spans="1:5" x14ac:dyDescent="0.25">
      <c r="A67" s="10"/>
      <c r="C67" s="47"/>
      <c r="D67" s="47"/>
      <c r="E67" s="47"/>
    </row>
    <row r="68" spans="1:5" x14ac:dyDescent="0.25">
      <c r="A68" s="10"/>
      <c r="C68" s="47"/>
      <c r="D68" s="47"/>
      <c r="E68" s="47"/>
    </row>
    <row r="69" spans="1:5" x14ac:dyDescent="0.25">
      <c r="A69" s="10"/>
      <c r="C69" s="47"/>
      <c r="D69" s="47"/>
      <c r="E69" s="47"/>
    </row>
    <row r="70" spans="1:5" x14ac:dyDescent="0.25">
      <c r="A70" s="10"/>
      <c r="C70" s="47"/>
      <c r="D70" s="47"/>
      <c r="E70" s="47"/>
    </row>
    <row r="71" spans="1:5" x14ac:dyDescent="0.25">
      <c r="A71" s="10"/>
      <c r="C71" s="47"/>
      <c r="D71" s="47"/>
      <c r="E71" s="47"/>
    </row>
    <row r="72" spans="1:5" x14ac:dyDescent="0.25">
      <c r="C72" s="47"/>
      <c r="D72" s="47"/>
      <c r="E72" s="47"/>
    </row>
    <row r="73" spans="1:5" x14ac:dyDescent="0.25">
      <c r="C73" s="47"/>
      <c r="D73" s="47"/>
      <c r="E73" s="47"/>
    </row>
    <row r="74" spans="1:5" x14ac:dyDescent="0.25">
      <c r="C74" s="47"/>
      <c r="D74" s="47"/>
      <c r="E74" s="47"/>
    </row>
    <row r="75" spans="1:5" x14ac:dyDescent="0.25">
      <c r="C75" s="47"/>
      <c r="D75" s="47"/>
      <c r="E75" s="47"/>
    </row>
    <row r="76" spans="1:5" x14ac:dyDescent="0.25">
      <c r="C76" s="47"/>
      <c r="D76" s="47"/>
      <c r="E76" s="47"/>
    </row>
    <row r="77" spans="1:5" x14ac:dyDescent="0.25">
      <c r="C77" s="47"/>
      <c r="D77" s="47"/>
      <c r="E77" s="47"/>
    </row>
    <row r="78" spans="1:5" x14ac:dyDescent="0.25">
      <c r="C78" s="47"/>
      <c r="D78" s="47"/>
      <c r="E78" s="47"/>
    </row>
    <row r="79" spans="1:5" x14ac:dyDescent="0.25">
      <c r="C79" s="47"/>
      <c r="D79" s="47"/>
      <c r="E79" s="47"/>
    </row>
    <row r="80" spans="1:5" x14ac:dyDescent="0.25">
      <c r="C80" s="47"/>
      <c r="D80" s="47"/>
      <c r="E80" s="47"/>
    </row>
    <row r="81" spans="3:5" x14ac:dyDescent="0.25">
      <c r="C81" s="47"/>
      <c r="D81" s="47"/>
      <c r="E81" s="47"/>
    </row>
    <row r="82" spans="3:5" x14ac:dyDescent="0.25">
      <c r="C82" s="47"/>
      <c r="D82" s="47"/>
      <c r="E82" s="47"/>
    </row>
    <row r="83" spans="3:5" x14ac:dyDescent="0.25">
      <c r="C83" s="47"/>
      <c r="D83" s="47"/>
      <c r="E83" s="47"/>
    </row>
    <row r="84" spans="3:5" x14ac:dyDescent="0.25">
      <c r="C84" s="47"/>
      <c r="D84" s="47"/>
      <c r="E84" s="47"/>
    </row>
    <row r="85" spans="3:5" x14ac:dyDescent="0.25">
      <c r="C85" s="47"/>
      <c r="D85" s="47"/>
      <c r="E85" s="47"/>
    </row>
    <row r="86" spans="3:5" x14ac:dyDescent="0.25">
      <c r="C86" s="47"/>
      <c r="D86" s="47"/>
      <c r="E86" s="47"/>
    </row>
    <row r="87" spans="3:5" x14ac:dyDescent="0.25">
      <c r="C87" s="47"/>
      <c r="D87" s="47"/>
      <c r="E87" s="47"/>
    </row>
    <row r="88" spans="3:5" x14ac:dyDescent="0.25">
      <c r="C88" s="47"/>
      <c r="D88" s="47"/>
      <c r="E88" s="47"/>
    </row>
    <row r="89" spans="3:5" x14ac:dyDescent="0.25">
      <c r="C89" s="47"/>
      <c r="D89" s="47"/>
      <c r="E89" s="47"/>
    </row>
    <row r="90" spans="3:5" x14ac:dyDescent="0.25">
      <c r="C90" s="47"/>
      <c r="D90" s="47"/>
      <c r="E90" s="47"/>
    </row>
    <row r="91" spans="3:5" x14ac:dyDescent="0.25">
      <c r="C91" s="47"/>
      <c r="D91" s="47"/>
      <c r="E91" s="47"/>
    </row>
    <row r="92" spans="3:5" x14ac:dyDescent="0.25">
      <c r="C92" s="47"/>
      <c r="D92" s="47"/>
      <c r="E92" s="47"/>
    </row>
    <row r="93" spans="3:5" x14ac:dyDescent="0.25">
      <c r="C93" s="47"/>
      <c r="D93" s="47"/>
      <c r="E93" s="47"/>
    </row>
    <row r="94" spans="3:5" x14ac:dyDescent="0.25">
      <c r="C94" s="47"/>
      <c r="D94" s="47"/>
      <c r="E94" s="47"/>
    </row>
    <row r="95" spans="3:5" x14ac:dyDescent="0.25">
      <c r="C95" s="47"/>
      <c r="D95" s="47"/>
      <c r="E95" s="47"/>
    </row>
    <row r="96" spans="3:5" x14ac:dyDescent="0.25">
      <c r="C96" s="47"/>
      <c r="D96" s="47"/>
      <c r="E96" s="47"/>
    </row>
    <row r="97" spans="3:5" x14ac:dyDescent="0.25">
      <c r="C97" s="47"/>
      <c r="D97" s="47"/>
      <c r="E97" s="47"/>
    </row>
    <row r="98" spans="3:5" x14ac:dyDescent="0.25">
      <c r="C98" s="47"/>
      <c r="D98" s="47"/>
      <c r="E98" s="47"/>
    </row>
    <row r="99" spans="3:5" x14ac:dyDescent="0.25">
      <c r="C99" s="47"/>
      <c r="D99" s="47"/>
      <c r="E99" s="47"/>
    </row>
    <row r="100" spans="3:5" x14ac:dyDescent="0.25">
      <c r="C100" s="47"/>
      <c r="D100" s="47"/>
      <c r="E100" s="47"/>
    </row>
    <row r="101" spans="3:5" x14ac:dyDescent="0.25">
      <c r="C101" s="47"/>
      <c r="D101" s="47"/>
      <c r="E101" s="47"/>
    </row>
  </sheetData>
  <mergeCells count="1">
    <mergeCell ref="C46:F46"/>
  </mergeCells>
  <pageMargins left="0.19685039370078741" right="0.15748031496062992" top="0.31496062992125984" bottom="0.19685039370078741" header="0.31496062992125984" footer="0.31496062992125984"/>
  <pageSetup paperSize="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Лева</vt:lpstr>
      <vt:lpstr>Евро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ralitsa</dc:creator>
  <cp:lastModifiedBy>Deyan Andreev</cp:lastModifiedBy>
  <cp:lastPrinted>2025-10-24T08:36:08Z</cp:lastPrinted>
  <dcterms:created xsi:type="dcterms:W3CDTF">2017-11-08T13:22:19Z</dcterms:created>
  <dcterms:modified xsi:type="dcterms:W3CDTF">2025-11-11T14:01:33Z</dcterms:modified>
</cp:coreProperties>
</file>