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48" i="1" l="1"/>
  <c r="E45" i="1" l="1"/>
  <c r="E42" i="1"/>
  <c r="D40" i="1"/>
  <c r="C40" i="1"/>
  <c r="E48" i="1"/>
  <c r="E47" i="1"/>
  <c r="E46" i="1"/>
  <c r="E44" i="1"/>
  <c r="E43" i="1"/>
  <c r="E41" i="1"/>
  <c r="E28" i="1"/>
  <c r="E27" i="1"/>
  <c r="E26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30" i="1"/>
  <c r="C30" i="1"/>
  <c r="D25" i="1"/>
  <c r="C25" i="1"/>
  <c r="E25" i="1" s="1"/>
  <c r="C49" i="1" l="1"/>
  <c r="C50" i="1" s="1"/>
  <c r="D49" i="1"/>
  <c r="D50" i="1" s="1"/>
  <c r="E40" i="1"/>
  <c r="E30" i="1"/>
  <c r="E49" i="1"/>
  <c r="E50" i="1" s="1"/>
  <c r="I48" i="1" l="1"/>
  <c r="K48" i="1" s="1"/>
  <c r="F48" i="1"/>
  <c r="K47" i="1"/>
  <c r="G47" i="1"/>
  <c r="F47" i="1"/>
  <c r="K46" i="1"/>
  <c r="G46" i="1"/>
  <c r="F46" i="1"/>
  <c r="K45" i="1"/>
  <c r="K44" i="1"/>
  <c r="G44" i="1"/>
  <c r="F44" i="1"/>
  <c r="H44" i="1" s="1"/>
  <c r="K43" i="1"/>
  <c r="G43" i="1"/>
  <c r="F43" i="1"/>
  <c r="K42" i="1"/>
  <c r="G42" i="1"/>
  <c r="F42" i="1"/>
  <c r="K41" i="1"/>
  <c r="G41" i="1"/>
  <c r="F41" i="1"/>
  <c r="J40" i="1"/>
  <c r="I40" i="1"/>
  <c r="K39" i="1"/>
  <c r="G39" i="1"/>
  <c r="F39" i="1"/>
  <c r="K38" i="1"/>
  <c r="G38" i="1"/>
  <c r="H38" i="1" s="1"/>
  <c r="F38" i="1"/>
  <c r="K37" i="1"/>
  <c r="G37" i="1"/>
  <c r="F37" i="1"/>
  <c r="K36" i="1"/>
  <c r="G36" i="1"/>
  <c r="F36" i="1"/>
  <c r="K35" i="1"/>
  <c r="G35" i="1"/>
  <c r="F35" i="1"/>
  <c r="K34" i="1"/>
  <c r="G34" i="1"/>
  <c r="F34" i="1"/>
  <c r="K33" i="1"/>
  <c r="G33" i="1"/>
  <c r="F33" i="1"/>
  <c r="K32" i="1"/>
  <c r="H32" i="1"/>
  <c r="K31" i="1"/>
  <c r="G31" i="1"/>
  <c r="F31" i="1"/>
  <c r="J30" i="1"/>
  <c r="I30" i="1"/>
  <c r="K29" i="1"/>
  <c r="K28" i="1"/>
  <c r="G28" i="1"/>
  <c r="F28" i="1"/>
  <c r="K27" i="1"/>
  <c r="G27" i="1"/>
  <c r="F27" i="1"/>
  <c r="K26" i="1"/>
  <c r="G26" i="1"/>
  <c r="G30" i="1" s="1"/>
  <c r="F26" i="1"/>
  <c r="F30" i="1" s="1"/>
  <c r="I25" i="1"/>
  <c r="K24" i="1"/>
  <c r="G24" i="1"/>
  <c r="F24" i="1"/>
  <c r="K23" i="1"/>
  <c r="H23" i="1"/>
  <c r="K22" i="1"/>
  <c r="H22" i="1"/>
  <c r="K21" i="1"/>
  <c r="H21" i="1"/>
  <c r="K20" i="1"/>
  <c r="G20" i="1"/>
  <c r="F20" i="1"/>
  <c r="K19" i="1"/>
  <c r="G19" i="1"/>
  <c r="F19" i="1"/>
  <c r="K18" i="1"/>
  <c r="G18" i="1"/>
  <c r="H18" i="1" s="1"/>
  <c r="K17" i="1"/>
  <c r="G17" i="1"/>
  <c r="F17" i="1"/>
  <c r="K16" i="1"/>
  <c r="G16" i="1"/>
  <c r="F16" i="1"/>
  <c r="K15" i="1"/>
  <c r="G15" i="1"/>
  <c r="F15" i="1"/>
  <c r="J14" i="1"/>
  <c r="K14" i="1" s="1"/>
  <c r="G14" i="1"/>
  <c r="H14" i="1" s="1"/>
  <c r="K13" i="1"/>
  <c r="G13" i="1"/>
  <c r="F13" i="1"/>
  <c r="J12" i="1"/>
  <c r="K12" i="1" s="1"/>
  <c r="G12" i="1"/>
  <c r="F12" i="1"/>
  <c r="K11" i="1"/>
  <c r="H11" i="1"/>
  <c r="K10" i="1"/>
  <c r="H10" i="1"/>
  <c r="K9" i="1"/>
  <c r="G9" i="1"/>
  <c r="F9" i="1"/>
  <c r="K8" i="1"/>
  <c r="G8" i="1"/>
  <c r="F8" i="1"/>
  <c r="H28" i="1" l="1"/>
  <c r="H43" i="1"/>
  <c r="H41" i="1"/>
  <c r="H46" i="1"/>
  <c r="H48" i="1"/>
  <c r="H39" i="1"/>
  <c r="G40" i="1"/>
  <c r="H12" i="1"/>
  <c r="H20" i="1"/>
  <c r="H24" i="1"/>
  <c r="H36" i="1"/>
  <c r="H8" i="1"/>
  <c r="H9" i="1"/>
  <c r="H37" i="1"/>
  <c r="H13" i="1"/>
  <c r="H15" i="1"/>
  <c r="H16" i="1"/>
  <c r="H17" i="1"/>
  <c r="K30" i="1"/>
  <c r="F40" i="1"/>
  <c r="H40" i="1" s="1"/>
  <c r="H34" i="1"/>
  <c r="G25" i="1"/>
  <c r="I49" i="1"/>
  <c r="I50" i="1" s="1"/>
  <c r="H33" i="1"/>
  <c r="H27" i="1"/>
  <c r="H31" i="1"/>
  <c r="H19" i="1"/>
  <c r="K40" i="1"/>
  <c r="H35" i="1"/>
  <c r="H42" i="1"/>
  <c r="H47" i="1"/>
  <c r="K25" i="1"/>
  <c r="H30" i="1"/>
  <c r="J25" i="1"/>
  <c r="J49" i="1" s="1"/>
  <c r="J50" i="1" s="1"/>
  <c r="F25" i="1"/>
  <c r="H25" i="1" s="1"/>
  <c r="H26" i="1"/>
  <c r="G49" i="1" l="1"/>
  <c r="G50" i="1" s="1"/>
  <c r="K49" i="1"/>
  <c r="K50" i="1" s="1"/>
  <c r="F49" i="1"/>
  <c r="F50" i="1" s="1"/>
  <c r="H49" i="1"/>
  <c r="H50" i="1" s="1"/>
</calcChain>
</file>

<file path=xl/sharedStrings.xml><?xml version="1.0" encoding="utf-8"?>
<sst xmlns="http://schemas.openxmlformats.org/spreadsheetml/2006/main" count="97" uniqueCount="70">
  <si>
    <t>§</t>
  </si>
  <si>
    <t xml:space="preserve">Фонд РЗ </t>
  </si>
  <si>
    <t>01-00</t>
  </si>
  <si>
    <t>Изпл-ни суми от СБКО</t>
  </si>
  <si>
    <t>02-05</t>
  </si>
  <si>
    <t>02-08</t>
  </si>
  <si>
    <t>Други плащания и възнаграждения</t>
  </si>
  <si>
    <t>02-09</t>
  </si>
  <si>
    <t>Осигурителни вноски - 19.62%</t>
  </si>
  <si>
    <t>05-00</t>
  </si>
  <si>
    <t>Работно облекло</t>
  </si>
  <si>
    <t>10-13</t>
  </si>
  <si>
    <t>сол - каменна</t>
  </si>
  <si>
    <t>10-15</t>
  </si>
  <si>
    <t>резервни части коли</t>
  </si>
  <si>
    <t>смазочни материали</t>
  </si>
  <si>
    <t>акумулатори</t>
  </si>
  <si>
    <t>консумативи ръчно почистване /метли,лопати,торби за смет/</t>
  </si>
  <si>
    <t>спомагателни и консумативи автом.</t>
  </si>
  <si>
    <t>материали РМЦ /грес, електроди и др./</t>
  </si>
  <si>
    <t xml:space="preserve">консумативи машинно почистване (четки, метални ножове за гребла, гуми) </t>
  </si>
  <si>
    <t>канцеларски материали</t>
  </si>
  <si>
    <t xml:space="preserve">съдове за смет </t>
  </si>
  <si>
    <t>други м-ли</t>
  </si>
  <si>
    <t>Всичко за §10-15</t>
  </si>
  <si>
    <t>Разходи за вода</t>
  </si>
  <si>
    <t>10-16</t>
  </si>
  <si>
    <t>Ел.енергия</t>
  </si>
  <si>
    <t>Разходи за горива</t>
  </si>
  <si>
    <t>Газ за отопление</t>
  </si>
  <si>
    <t>Всичко за § 10-16</t>
  </si>
  <si>
    <t>Автосервизни услуги</t>
  </si>
  <si>
    <t>10-20</t>
  </si>
  <si>
    <t>сервизно обслужване на нова техника</t>
  </si>
  <si>
    <t>в усл.спц.автом. /ресори,хидр.бут./</t>
  </si>
  <si>
    <t xml:space="preserve">Охрана </t>
  </si>
  <si>
    <t>Телефони</t>
  </si>
  <si>
    <t>Абонаментно обслужване (компютри, касов апарат, счет.програма, ПП Алиса, инт., служба тр.мед., прегледи, поддържане бенз. и др.)</t>
  </si>
  <si>
    <t xml:space="preserve">външни изпълнители </t>
  </si>
  <si>
    <t>Годишни технически прегледи</t>
  </si>
  <si>
    <t xml:space="preserve">Други услуги </t>
  </si>
  <si>
    <t>Всичко §10-20</t>
  </si>
  <si>
    <t>Текущ ремонт</t>
  </si>
  <si>
    <t>10-30</t>
  </si>
  <si>
    <t>Командировки</t>
  </si>
  <si>
    <t>10-51</t>
  </si>
  <si>
    <t>Командировки в чужбина</t>
  </si>
  <si>
    <t>10-52</t>
  </si>
  <si>
    <t xml:space="preserve">Застраховки </t>
  </si>
  <si>
    <t>10-62</t>
  </si>
  <si>
    <t>Други разходи за СБКО</t>
  </si>
  <si>
    <t>10-91</t>
  </si>
  <si>
    <t>Държавни такси</t>
  </si>
  <si>
    <t>19-01</t>
  </si>
  <si>
    <t>Данъци и такси</t>
  </si>
  <si>
    <t>19-81</t>
  </si>
  <si>
    <t>ВСИЧКО:</t>
  </si>
  <si>
    <t>Приложение № 1.1</t>
  </si>
  <si>
    <t xml:space="preserve">към Решение № </t>
  </si>
  <si>
    <t>на Общински съвет Габрово</t>
  </si>
  <si>
    <t xml:space="preserve">   Отчет на разходите за 2024 г. и разчет за 2025 г. на оперативните разходи за изпълнение на услугите от ОП "Благоустрояване"</t>
  </si>
  <si>
    <t>Обезщетения за персонала, с х-р на възн-е</t>
  </si>
  <si>
    <t>БЮДЖЕТ 2025</t>
  </si>
  <si>
    <t xml:space="preserve"> Сметосъбиране, транспортиране на отпадъци</t>
  </si>
  <si>
    <t xml:space="preserve"> Поддържане чистота </t>
  </si>
  <si>
    <t xml:space="preserve"> ОБЩО </t>
  </si>
  <si>
    <t>Инвестиции</t>
  </si>
  <si>
    <t>Очаквано изпълнение 
към 31.12.2024</t>
  </si>
  <si>
    <t>Одобрена план сметка 
2024г.</t>
  </si>
  <si>
    <t>само текущи разходи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</si>
</sst>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3" fontId="6" fillId="0" borderId="2" xfId="0" applyNumberFormat="1" applyFon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3" fontId="2" fillId="0" borderId="30" xfId="0" applyNumberFormat="1" applyFont="1" applyFill="1" applyBorder="1" applyAlignment="1">
      <alignment horizontal="center" vertical="center" wrapText="1"/>
    </xf>
    <xf numFmtId="3" fontId="9" fillId="0" borderId="28" xfId="0" applyNumberFormat="1" applyFont="1" applyFill="1" applyBorder="1" applyAlignment="1">
      <alignment horizontal="right" vertical="center" wrapText="1"/>
    </xf>
    <xf numFmtId="3" fontId="9" fillId="0" borderId="29" xfId="0" applyNumberFormat="1" applyFont="1" applyFill="1" applyBorder="1" applyAlignment="1">
      <alignment horizontal="right" vertical="center" wrapText="1"/>
    </xf>
    <xf numFmtId="3" fontId="9" fillId="0" borderId="28" xfId="0" applyNumberFormat="1" applyFont="1" applyFill="1" applyBorder="1" applyAlignment="1">
      <alignment horizontal="center" vertical="center" wrapText="1"/>
    </xf>
    <xf numFmtId="3" fontId="9" fillId="0" borderId="29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/>
    <xf numFmtId="3" fontId="5" fillId="0" borderId="15" xfId="0" applyNumberFormat="1" applyFont="1" applyFill="1" applyBorder="1" applyAlignment="1">
      <alignment horizontal="right"/>
    </xf>
    <xf numFmtId="3" fontId="6" fillId="0" borderId="9" xfId="0" applyNumberFormat="1" applyFont="1" applyFill="1" applyBorder="1"/>
    <xf numFmtId="3" fontId="6" fillId="0" borderId="10" xfId="0" applyNumberFormat="1" applyFont="1" applyFill="1" applyBorder="1"/>
    <xf numFmtId="3" fontId="7" fillId="0" borderId="34" xfId="0" applyNumberFormat="1" applyFont="1" applyFill="1" applyBorder="1"/>
    <xf numFmtId="3" fontId="7" fillId="0" borderId="37" xfId="0" applyNumberFormat="1" applyFont="1" applyFill="1" applyBorder="1"/>
    <xf numFmtId="3" fontId="3" fillId="0" borderId="42" xfId="0" applyNumberFormat="1" applyFont="1" applyFill="1" applyBorder="1"/>
    <xf numFmtId="3" fontId="14" fillId="0" borderId="13" xfId="0" applyNumberFormat="1" applyFont="1" applyFill="1" applyBorder="1"/>
    <xf numFmtId="3" fontId="14" fillId="0" borderId="2" xfId="0" applyNumberFormat="1" applyFont="1" applyFill="1" applyBorder="1"/>
    <xf numFmtId="3" fontId="14" fillId="0" borderId="18" xfId="0" applyNumberFormat="1" applyFont="1" applyFill="1" applyBorder="1"/>
    <xf numFmtId="3" fontId="14" fillId="0" borderId="1" xfId="0" applyNumberFormat="1" applyFont="1" applyFill="1" applyBorder="1"/>
    <xf numFmtId="3" fontId="15" fillId="0" borderId="13" xfId="0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0" xfId="0" applyFont="1" applyFill="1"/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0" fontId="3" fillId="0" borderId="0" xfId="0" applyFont="1" applyFill="1" applyAlignment="1"/>
    <xf numFmtId="0" fontId="12" fillId="0" borderId="0" xfId="0" applyFont="1" applyFill="1" applyAlignment="1"/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/>
    <xf numFmtId="49" fontId="9" fillId="0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center"/>
    </xf>
    <xf numFmtId="0" fontId="3" fillId="0" borderId="0" xfId="0" applyFont="1" applyFill="1"/>
    <xf numFmtId="0" fontId="12" fillId="0" borderId="0" xfId="0" applyFont="1" applyFill="1"/>
    <xf numFmtId="3" fontId="5" fillId="0" borderId="18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/>
    <xf numFmtId="3" fontId="3" fillId="0" borderId="18" xfId="0" applyNumberFormat="1" applyFont="1" applyFill="1" applyBorder="1"/>
    <xf numFmtId="3" fontId="3" fillId="0" borderId="1" xfId="0" applyNumberFormat="1" applyFont="1" applyFill="1" applyBorder="1"/>
    <xf numFmtId="3" fontId="12" fillId="0" borderId="24" xfId="0" applyNumberFormat="1" applyFont="1" applyFill="1" applyBorder="1"/>
    <xf numFmtId="3" fontId="5" fillId="0" borderId="13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1" fillId="0" borderId="14" xfId="0" applyNumberFormat="1" applyFont="1" applyFill="1" applyBorder="1" applyAlignment="1"/>
    <xf numFmtId="3" fontId="3" fillId="0" borderId="13" xfId="0" applyNumberFormat="1" applyFont="1" applyFill="1" applyBorder="1"/>
    <xf numFmtId="3" fontId="3" fillId="0" borderId="2" xfId="0" applyNumberFormat="1" applyFont="1" applyFill="1" applyBorder="1"/>
    <xf numFmtId="3" fontId="12" fillId="0" borderId="22" xfId="0" applyNumberFormat="1" applyFont="1" applyFill="1" applyBorder="1"/>
    <xf numFmtId="3" fontId="6" fillId="0" borderId="13" xfId="0" applyNumberFormat="1" applyFont="1" applyFill="1" applyBorder="1" applyAlignment="1"/>
    <xf numFmtId="3" fontId="7" fillId="0" borderId="22" xfId="0" applyNumberFormat="1" applyFont="1" applyFill="1" applyBorder="1"/>
    <xf numFmtId="3" fontId="5" fillId="0" borderId="8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/>
    <xf numFmtId="3" fontId="3" fillId="0" borderId="15" xfId="0" applyNumberFormat="1" applyFont="1" applyFill="1" applyBorder="1"/>
    <xf numFmtId="3" fontId="3" fillId="0" borderId="4" xfId="0" applyNumberFormat="1" applyFont="1" applyFill="1" applyBorder="1"/>
    <xf numFmtId="3" fontId="12" fillId="0" borderId="23" xfId="0" applyNumberFormat="1" applyFont="1" applyFill="1" applyBorder="1"/>
    <xf numFmtId="3" fontId="6" fillId="0" borderId="4" xfId="0" applyNumberFormat="1" applyFont="1" applyFill="1" applyBorder="1"/>
    <xf numFmtId="3" fontId="7" fillId="0" borderId="23" xfId="0" applyNumberFormat="1" applyFont="1" applyFill="1" applyBorder="1"/>
    <xf numFmtId="0" fontId="5" fillId="0" borderId="9" xfId="0" applyFont="1" applyFill="1" applyBorder="1"/>
    <xf numFmtId="3" fontId="5" fillId="0" borderId="9" xfId="0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/>
    <xf numFmtId="3" fontId="7" fillId="0" borderId="12" xfId="0" applyNumberFormat="1" applyFont="1" applyFill="1" applyBorder="1"/>
    <xf numFmtId="3" fontId="3" fillId="0" borderId="10" xfId="0" applyNumberFormat="1" applyFont="1" applyFill="1" applyBorder="1"/>
    <xf numFmtId="3" fontId="12" fillId="0" borderId="12" xfId="0" applyNumberFormat="1" applyFont="1" applyFill="1" applyBorder="1"/>
    <xf numFmtId="3" fontId="15" fillId="0" borderId="18" xfId="0" applyNumberFormat="1" applyFont="1" applyFill="1" applyBorder="1" applyAlignment="1">
      <alignment horizontal="right"/>
    </xf>
    <xf numFmtId="3" fontId="15" fillId="0" borderId="7" xfId="0" applyNumberFormat="1" applyFont="1" applyFill="1" applyBorder="1" applyAlignment="1">
      <alignment horizontal="right"/>
    </xf>
    <xf numFmtId="3" fontId="17" fillId="0" borderId="19" xfId="0" applyNumberFormat="1" applyFont="1" applyFill="1" applyBorder="1" applyAlignment="1"/>
    <xf numFmtId="3" fontId="16" fillId="0" borderId="18" xfId="0" applyNumberFormat="1" applyFont="1" applyFill="1" applyBorder="1"/>
    <xf numFmtId="3" fontId="16" fillId="0" borderId="1" xfId="0" applyNumberFormat="1" applyFont="1" applyFill="1" applyBorder="1"/>
    <xf numFmtId="3" fontId="19" fillId="0" borderId="24" xfId="0" applyNumberFormat="1" applyFont="1" applyFill="1" applyBorder="1"/>
    <xf numFmtId="0" fontId="16" fillId="0" borderId="0" xfId="0" applyFont="1" applyFill="1"/>
    <xf numFmtId="3" fontId="15" fillId="0" borderId="3" xfId="0" applyNumberFormat="1" applyFont="1" applyFill="1" applyBorder="1" applyAlignment="1">
      <alignment horizontal="right"/>
    </xf>
    <xf numFmtId="3" fontId="17" fillId="0" borderId="14" xfId="0" applyNumberFormat="1" applyFont="1" applyFill="1" applyBorder="1" applyAlignment="1"/>
    <xf numFmtId="3" fontId="16" fillId="0" borderId="13" xfId="0" applyNumberFormat="1" applyFont="1" applyFill="1" applyBorder="1"/>
    <xf numFmtId="3" fontId="16" fillId="0" borderId="2" xfId="0" applyNumberFormat="1" applyFont="1" applyFill="1" applyBorder="1"/>
    <xf numFmtId="3" fontId="19" fillId="0" borderId="22" xfId="0" applyNumberFormat="1" applyFont="1" applyFill="1" applyBorder="1"/>
    <xf numFmtId="3" fontId="1" fillId="0" borderId="34" xfId="0" applyNumberFormat="1" applyFont="1" applyFill="1" applyBorder="1" applyAlignment="1">
      <alignment horizontal="right"/>
    </xf>
    <xf numFmtId="3" fontId="1" fillId="0" borderId="35" xfId="0" applyNumberFormat="1" applyFont="1" applyFill="1" applyBorder="1" applyAlignment="1">
      <alignment horizontal="right"/>
    </xf>
    <xf numFmtId="3" fontId="1" fillId="0" borderId="36" xfId="0" applyNumberFormat="1" applyFont="1" applyFill="1" applyBorder="1" applyAlignment="1"/>
    <xf numFmtId="3" fontId="7" fillId="0" borderId="38" xfId="0" applyNumberFormat="1" applyFont="1" applyFill="1" applyBorder="1"/>
    <xf numFmtId="3" fontId="13" fillId="0" borderId="18" xfId="0" applyNumberFormat="1" applyFont="1" applyFill="1" applyBorder="1" applyAlignment="1">
      <alignment horizontal="right"/>
    </xf>
    <xf numFmtId="3" fontId="13" fillId="0" borderId="7" xfId="0" applyNumberFormat="1" applyFont="1" applyFill="1" applyBorder="1" applyAlignment="1">
      <alignment horizontal="right"/>
    </xf>
    <xf numFmtId="3" fontId="18" fillId="0" borderId="19" xfId="0" applyNumberFormat="1" applyFont="1" applyFill="1" applyBorder="1" applyAlignment="1"/>
    <xf numFmtId="3" fontId="20" fillId="0" borderId="24" xfId="0" applyNumberFormat="1" applyFont="1" applyFill="1" applyBorder="1"/>
    <xf numFmtId="0" fontId="14" fillId="0" borderId="0" xfId="0" applyFont="1" applyFill="1"/>
    <xf numFmtId="3" fontId="13" fillId="0" borderId="13" xfId="0" applyNumberFormat="1" applyFont="1" applyFill="1" applyBorder="1" applyAlignment="1">
      <alignment horizontal="right"/>
    </xf>
    <xf numFmtId="3" fontId="13" fillId="0" borderId="3" xfId="0" applyNumberFormat="1" applyFont="1" applyFill="1" applyBorder="1" applyAlignment="1">
      <alignment horizontal="right"/>
    </xf>
    <xf numFmtId="3" fontId="18" fillId="0" borderId="14" xfId="0" applyNumberFormat="1" applyFont="1" applyFill="1" applyBorder="1" applyAlignment="1"/>
    <xf numFmtId="3" fontId="20" fillId="0" borderId="22" xfId="0" applyNumberFormat="1" applyFont="1" applyFill="1" applyBorder="1"/>
    <xf numFmtId="3" fontId="13" fillId="0" borderId="15" xfId="0" applyNumberFormat="1" applyFont="1" applyFill="1" applyBorder="1" applyAlignment="1">
      <alignment horizontal="right"/>
    </xf>
    <xf numFmtId="3" fontId="13" fillId="0" borderId="8" xfId="0" applyNumberFormat="1" applyFont="1" applyFill="1" applyBorder="1" applyAlignment="1">
      <alignment horizontal="right"/>
    </xf>
    <xf numFmtId="3" fontId="18" fillId="0" borderId="16" xfId="0" applyNumberFormat="1" applyFont="1" applyFill="1" applyBorder="1" applyAlignment="1"/>
    <xf numFmtId="3" fontId="14" fillId="0" borderId="15" xfId="0" applyNumberFormat="1" applyFont="1" applyFill="1" applyBorder="1"/>
    <xf numFmtId="3" fontId="14" fillId="0" borderId="4" xfId="0" applyNumberFormat="1" applyFont="1" applyFill="1" applyBorder="1"/>
    <xf numFmtId="3" fontId="20" fillId="0" borderId="23" xfId="0" applyNumberFormat="1" applyFont="1" applyFill="1" applyBorder="1"/>
    <xf numFmtId="3" fontId="5" fillId="0" borderId="39" xfId="0" applyNumberFormat="1" applyFont="1" applyFill="1" applyBorder="1" applyAlignment="1">
      <alignment horizontal="right"/>
    </xf>
    <xf numFmtId="3" fontId="5" fillId="0" borderId="40" xfId="0" applyNumberFormat="1" applyFont="1" applyFill="1" applyBorder="1" applyAlignment="1">
      <alignment horizontal="right"/>
    </xf>
    <xf numFmtId="3" fontId="1" fillId="0" borderId="41" xfId="0" applyNumberFormat="1" applyFont="1" applyFill="1" applyBorder="1" applyAlignment="1"/>
    <xf numFmtId="3" fontId="6" fillId="0" borderId="39" xfId="0" applyNumberFormat="1" applyFont="1" applyFill="1" applyBorder="1"/>
    <xf numFmtId="3" fontId="6" fillId="0" borderId="42" xfId="0" applyNumberFormat="1" applyFont="1" applyFill="1" applyBorder="1"/>
    <xf numFmtId="3" fontId="7" fillId="0" borderId="43" xfId="0" applyNumberFormat="1" applyFont="1" applyFill="1" applyBorder="1"/>
    <xf numFmtId="3" fontId="5" fillId="0" borderId="44" xfId="0" applyNumberFormat="1" applyFont="1" applyFill="1" applyBorder="1" applyAlignment="1">
      <alignment horizontal="right"/>
    </xf>
    <xf numFmtId="3" fontId="5" fillId="0" borderId="45" xfId="0" applyNumberFormat="1" applyFont="1" applyFill="1" applyBorder="1" applyAlignment="1">
      <alignment horizontal="right"/>
    </xf>
    <xf numFmtId="3" fontId="1" fillId="0" borderId="46" xfId="0" applyNumberFormat="1" applyFont="1" applyFill="1" applyBorder="1" applyAlignment="1"/>
    <xf numFmtId="3" fontId="3" fillId="0" borderId="44" xfId="0" applyNumberFormat="1" applyFont="1" applyFill="1" applyBorder="1"/>
    <xf numFmtId="3" fontId="3" fillId="0" borderId="47" xfId="0" applyNumberFormat="1" applyFont="1" applyFill="1" applyBorder="1"/>
    <xf numFmtId="3" fontId="12" fillId="0" borderId="48" xfId="0" applyNumberFormat="1" applyFont="1" applyFill="1" applyBorder="1"/>
    <xf numFmtId="3" fontId="3" fillId="0" borderId="39" xfId="0" applyNumberFormat="1" applyFont="1" applyFill="1" applyBorder="1"/>
    <xf numFmtId="3" fontId="12" fillId="0" borderId="43" xfId="0" applyNumberFormat="1" applyFont="1" applyFill="1" applyBorder="1"/>
    <xf numFmtId="3" fontId="5" fillId="0" borderId="20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1" fillId="0" borderId="21" xfId="0" applyNumberFormat="1" applyFont="1" applyFill="1" applyBorder="1" applyAlignment="1"/>
    <xf numFmtId="3" fontId="3" fillId="0" borderId="20" xfId="0" applyNumberFormat="1" applyFont="1" applyFill="1" applyBorder="1"/>
    <xf numFmtId="3" fontId="3" fillId="0" borderId="5" xfId="0" applyNumberFormat="1" applyFont="1" applyFill="1" applyBorder="1"/>
    <xf numFmtId="3" fontId="12" fillId="0" borderId="25" xfId="0" applyNumberFormat="1" applyFont="1" applyFill="1" applyBorder="1"/>
    <xf numFmtId="0" fontId="1" fillId="0" borderId="9" xfId="0" applyFont="1" applyFill="1" applyBorder="1"/>
    <xf numFmtId="3" fontId="1" fillId="0" borderId="9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7" fillId="0" borderId="9" xfId="0" applyNumberFormat="1" applyFont="1" applyFill="1" applyBorder="1"/>
    <xf numFmtId="3" fontId="7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3" fontId="5" fillId="0" borderId="17" xfId="0" applyNumberFormat="1" applyFont="1" applyFill="1" applyBorder="1" applyAlignment="1"/>
    <xf numFmtId="3" fontId="6" fillId="0" borderId="12" xfId="0" applyNumberFormat="1" applyFont="1" applyFill="1" applyBorder="1"/>
    <xf numFmtId="0" fontId="3" fillId="0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2" fontId="12" fillId="0" borderId="0" xfId="0" applyNumberFormat="1" applyFont="1" applyFill="1" applyBorder="1"/>
    <xf numFmtId="2" fontId="3" fillId="0" borderId="0" xfId="0" applyNumberFormat="1" applyFont="1" applyFill="1" applyBorder="1"/>
    <xf numFmtId="0" fontId="4" fillId="0" borderId="0" xfId="0" quotePrefix="1" applyFont="1" applyFill="1"/>
    <xf numFmtId="0" fontId="4" fillId="0" borderId="0" xfId="0" applyFont="1" applyFill="1" applyAlignment="1">
      <alignment wrapText="1"/>
    </xf>
    <xf numFmtId="3" fontId="3" fillId="0" borderId="9" xfId="0" applyNumberFormat="1" applyFont="1" applyFill="1" applyBorder="1"/>
    <xf numFmtId="0" fontId="4" fillId="0" borderId="18" xfId="0" applyFont="1" applyFill="1" applyBorder="1"/>
    <xf numFmtId="49" fontId="5" fillId="0" borderId="24" xfId="0" applyNumberFormat="1" applyFont="1" applyFill="1" applyBorder="1" applyAlignment="1">
      <alignment horizontal="center"/>
    </xf>
    <xf numFmtId="0" fontId="5" fillId="0" borderId="13" xfId="0" applyFont="1" applyFill="1" applyBorder="1"/>
    <xf numFmtId="49" fontId="5" fillId="0" borderId="22" xfId="0" applyNumberFormat="1" applyFont="1" applyFill="1" applyBorder="1" applyAlignment="1">
      <alignment horizontal="center"/>
    </xf>
    <xf numFmtId="0" fontId="5" fillId="0" borderId="15" xfId="0" applyFont="1" applyFill="1" applyBorder="1"/>
    <xf numFmtId="49" fontId="5" fillId="0" borderId="23" xfId="0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0" fontId="15" fillId="0" borderId="18" xfId="0" applyFont="1" applyFill="1" applyBorder="1"/>
    <xf numFmtId="49" fontId="15" fillId="0" borderId="24" xfId="0" applyNumberFormat="1" applyFont="1" applyFill="1" applyBorder="1" applyAlignment="1">
      <alignment horizontal="center"/>
    </xf>
    <xf numFmtId="0" fontId="15" fillId="0" borderId="13" xfId="0" applyFont="1" applyFill="1" applyBorder="1"/>
    <xf numFmtId="49" fontId="15" fillId="0" borderId="22" xfId="0" applyNumberFormat="1" applyFont="1" applyFill="1" applyBorder="1" applyAlignment="1">
      <alignment horizontal="center"/>
    </xf>
    <xf numFmtId="0" fontId="15" fillId="0" borderId="13" xfId="0" applyFont="1" applyFill="1" applyBorder="1" applyAlignment="1">
      <alignment wrapText="1"/>
    </xf>
    <xf numFmtId="0" fontId="8" fillId="0" borderId="34" xfId="0" applyFont="1" applyFill="1" applyBorder="1"/>
    <xf numFmtId="49" fontId="1" fillId="0" borderId="38" xfId="0" applyNumberFormat="1" applyFont="1" applyFill="1" applyBorder="1" applyAlignment="1">
      <alignment horizontal="center"/>
    </xf>
    <xf numFmtId="0" fontId="13" fillId="0" borderId="18" xfId="0" applyFont="1" applyFill="1" applyBorder="1"/>
    <xf numFmtId="49" fontId="13" fillId="0" borderId="24" xfId="0" applyNumberFormat="1" applyFont="1" applyFill="1" applyBorder="1" applyAlignment="1">
      <alignment horizontal="center"/>
    </xf>
    <xf numFmtId="0" fontId="13" fillId="0" borderId="13" xfId="0" applyFont="1" applyFill="1" applyBorder="1"/>
    <xf numFmtId="49" fontId="13" fillId="0" borderId="22" xfId="0" applyNumberFormat="1" applyFont="1" applyFill="1" applyBorder="1" applyAlignment="1">
      <alignment horizontal="center"/>
    </xf>
    <xf numFmtId="0" fontId="13" fillId="0" borderId="15" xfId="0" applyFont="1" applyFill="1" applyBorder="1"/>
    <xf numFmtId="49" fontId="13" fillId="0" borderId="23" xfId="0" applyNumberFormat="1" applyFont="1" applyFill="1" applyBorder="1" applyAlignment="1">
      <alignment horizontal="center"/>
    </xf>
    <xf numFmtId="0" fontId="1" fillId="0" borderId="34" xfId="0" applyFont="1" applyFill="1" applyBorder="1"/>
    <xf numFmtId="0" fontId="13" fillId="0" borderId="13" xfId="0" applyFont="1" applyFill="1" applyBorder="1" applyAlignment="1">
      <alignment horizontal="left" vertical="center" wrapText="1"/>
    </xf>
    <xf numFmtId="0" fontId="5" fillId="0" borderId="39" xfId="0" applyFont="1" applyFill="1" applyBorder="1"/>
    <xf numFmtId="49" fontId="5" fillId="0" borderId="43" xfId="0" applyNumberFormat="1" applyFont="1" applyFill="1" applyBorder="1" applyAlignment="1">
      <alignment horizontal="center"/>
    </xf>
    <xf numFmtId="0" fontId="5" fillId="0" borderId="44" xfId="0" applyFont="1" applyFill="1" applyBorder="1"/>
    <xf numFmtId="49" fontId="5" fillId="0" borderId="48" xfId="0" applyNumberFormat="1" applyFont="1" applyFill="1" applyBorder="1" applyAlignment="1">
      <alignment horizontal="center"/>
    </xf>
    <xf numFmtId="0" fontId="5" fillId="0" borderId="20" xfId="0" applyFont="1" applyFill="1" applyBorder="1"/>
    <xf numFmtId="49" fontId="5" fillId="0" borderId="25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0" fontId="4" fillId="0" borderId="26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49" fontId="5" fillId="0" borderId="49" xfId="0" applyNumberFormat="1" applyFont="1" applyFill="1" applyBorder="1" applyAlignment="1">
      <alignment horizontal="center"/>
    </xf>
    <xf numFmtId="49" fontId="5" fillId="0" borderId="50" xfId="0" applyNumberFormat="1" applyFont="1" applyFill="1" applyBorder="1" applyAlignment="1">
      <alignment horizontal="center"/>
    </xf>
    <xf numFmtId="3" fontId="2" fillId="0" borderId="31" xfId="0" applyNumberFormat="1" applyFont="1" applyFill="1" applyBorder="1" applyAlignment="1">
      <alignment horizontal="center" wrapText="1"/>
    </xf>
    <xf numFmtId="3" fontId="2" fillId="0" borderId="32" xfId="0" applyNumberFormat="1" applyFont="1" applyFill="1" applyBorder="1" applyAlignment="1">
      <alignment horizontal="center"/>
    </xf>
    <xf numFmtId="3" fontId="2" fillId="0" borderId="33" xfId="0" applyNumberFormat="1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topLeftCell="D1" workbookViewId="0">
      <selection activeCell="I12" sqref="I12"/>
    </sheetView>
  </sheetViews>
  <sheetFormatPr defaultColWidth="9.109375" defaultRowHeight="13.8" x14ac:dyDescent="0.25"/>
  <cols>
    <col min="1" max="1" width="53.6640625" style="21" customWidth="1"/>
    <col min="2" max="2" width="6.44140625" style="29" bestFit="1" customWidth="1"/>
    <col min="3" max="4" width="15.6640625" style="30" customWidth="1"/>
    <col min="5" max="5" width="15.6640625" style="31" customWidth="1"/>
    <col min="6" max="7" width="15.6640625" style="32" customWidth="1"/>
    <col min="8" max="8" width="15.6640625" style="33" customWidth="1"/>
    <col min="9" max="10" width="15.6640625" style="32" customWidth="1"/>
    <col min="11" max="11" width="15.6640625" style="33" customWidth="1"/>
    <col min="12" max="12" width="14.109375" style="32" customWidth="1"/>
    <col min="13" max="16384" width="9.109375" style="32"/>
  </cols>
  <sheetData>
    <row r="1" spans="1:11" s="21" customFormat="1" ht="15.6" x14ac:dyDescent="0.3">
      <c r="B1" s="22"/>
      <c r="C1" s="23"/>
      <c r="D1" s="23"/>
      <c r="E1" s="24"/>
      <c r="F1" s="25"/>
      <c r="G1" s="25"/>
      <c r="H1" s="26"/>
      <c r="I1" s="27" t="s">
        <v>57</v>
      </c>
      <c r="J1" s="25"/>
      <c r="K1" s="26"/>
    </row>
    <row r="2" spans="1:11" s="21" customFormat="1" ht="15.6" x14ac:dyDescent="0.3">
      <c r="B2" s="22"/>
      <c r="C2" s="23"/>
      <c r="D2" s="23"/>
      <c r="E2" s="24"/>
      <c r="F2" s="25"/>
      <c r="G2" s="25"/>
      <c r="H2" s="26"/>
      <c r="I2" s="27" t="s">
        <v>58</v>
      </c>
      <c r="J2" s="25"/>
      <c r="K2" s="26"/>
    </row>
    <row r="3" spans="1:11" s="21" customFormat="1" ht="15.6" x14ac:dyDescent="0.3">
      <c r="B3" s="22"/>
      <c r="C3" s="23"/>
      <c r="D3" s="23"/>
      <c r="E3" s="24"/>
      <c r="F3" s="25"/>
      <c r="G3" s="25"/>
      <c r="H3" s="26"/>
      <c r="I3" s="28" t="s">
        <v>59</v>
      </c>
      <c r="J3" s="25"/>
      <c r="K3" s="26"/>
    </row>
    <row r="4" spans="1:11" s="21" customFormat="1" x14ac:dyDescent="0.25">
      <c r="A4" s="158" t="s">
        <v>60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ht="7.5" customHeight="1" thickBot="1" x14ac:dyDescent="0.3"/>
    <row r="6" spans="1:11" s="33" customFormat="1" ht="30.75" customHeight="1" x14ac:dyDescent="0.25">
      <c r="A6" s="159"/>
      <c r="B6" s="161" t="s">
        <v>0</v>
      </c>
      <c r="C6" s="163" t="s">
        <v>68</v>
      </c>
      <c r="D6" s="164"/>
      <c r="E6" s="165"/>
      <c r="F6" s="169" t="s">
        <v>67</v>
      </c>
      <c r="G6" s="167"/>
      <c r="H6" s="168"/>
      <c r="I6" s="166" t="s">
        <v>62</v>
      </c>
      <c r="J6" s="167"/>
      <c r="K6" s="168"/>
    </row>
    <row r="7" spans="1:11" ht="43.5" customHeight="1" thickBot="1" x14ac:dyDescent="0.3">
      <c r="A7" s="160"/>
      <c r="B7" s="162"/>
      <c r="C7" s="5" t="s">
        <v>63</v>
      </c>
      <c r="D7" s="6" t="s">
        <v>64</v>
      </c>
      <c r="E7" s="4" t="s">
        <v>65</v>
      </c>
      <c r="F7" s="7" t="s">
        <v>63</v>
      </c>
      <c r="G7" s="8" t="s">
        <v>64</v>
      </c>
      <c r="H7" s="4" t="s">
        <v>65</v>
      </c>
      <c r="I7" s="7" t="s">
        <v>63</v>
      </c>
      <c r="J7" s="8" t="s">
        <v>64</v>
      </c>
      <c r="K7" s="4" t="s">
        <v>65</v>
      </c>
    </row>
    <row r="8" spans="1:11" s="33" customFormat="1" ht="15.6" x14ac:dyDescent="0.3">
      <c r="A8" s="129" t="s">
        <v>1</v>
      </c>
      <c r="B8" s="130" t="s">
        <v>2</v>
      </c>
      <c r="C8" s="34">
        <v>1170000</v>
      </c>
      <c r="D8" s="35">
        <v>961000</v>
      </c>
      <c r="E8" s="36">
        <f>C8+D8</f>
        <v>2131000</v>
      </c>
      <c r="F8" s="37">
        <f>781998.28+323448.27</f>
        <v>1105446.55</v>
      </c>
      <c r="G8" s="38">
        <f>602472.23+305919.25</f>
        <v>908391.48</v>
      </c>
      <c r="H8" s="39">
        <f>F8+G8</f>
        <v>2013838.03</v>
      </c>
      <c r="I8" s="37">
        <v>1300000</v>
      </c>
      <c r="J8" s="38">
        <v>1130000</v>
      </c>
      <c r="K8" s="39">
        <f>I8+J8</f>
        <v>2430000</v>
      </c>
    </row>
    <row r="9" spans="1:11" s="33" customFormat="1" ht="15.6" x14ac:dyDescent="0.3">
      <c r="A9" s="131" t="s">
        <v>3</v>
      </c>
      <c r="B9" s="132" t="s">
        <v>4</v>
      </c>
      <c r="C9" s="40"/>
      <c r="D9" s="41"/>
      <c r="E9" s="42">
        <f t="shared" ref="E9:E48" si="0">C9+D9</f>
        <v>0</v>
      </c>
      <c r="F9" s="46">
        <f>18490.86+582.7+20000</f>
        <v>39073.56</v>
      </c>
      <c r="G9" s="1">
        <f>559.85+14836.08+16000</f>
        <v>31395.93</v>
      </c>
      <c r="H9" s="45">
        <f>F9+G9</f>
        <v>70469.489999999991</v>
      </c>
      <c r="I9" s="43"/>
      <c r="J9" s="44"/>
      <c r="K9" s="45">
        <f>I9+J9</f>
        <v>0</v>
      </c>
    </row>
    <row r="10" spans="1:11" s="33" customFormat="1" ht="15.6" x14ac:dyDescent="0.3">
      <c r="A10" s="131" t="s">
        <v>61</v>
      </c>
      <c r="B10" s="132" t="s">
        <v>5</v>
      </c>
      <c r="C10" s="40">
        <v>39500</v>
      </c>
      <c r="D10" s="41">
        <v>7500</v>
      </c>
      <c r="E10" s="42">
        <f t="shared" si="0"/>
        <v>47000</v>
      </c>
      <c r="F10" s="9">
        <v>1414.17</v>
      </c>
      <c r="G10" s="1">
        <v>2963.83</v>
      </c>
      <c r="H10" s="45">
        <f t="shared" ref="H10:H28" si="1">F10+G10</f>
        <v>4378</v>
      </c>
      <c r="I10" s="43">
        <v>38000</v>
      </c>
      <c r="J10" s="44">
        <v>10000</v>
      </c>
      <c r="K10" s="45">
        <f t="shared" ref="K10:K11" si="2">I10+J10</f>
        <v>48000</v>
      </c>
    </row>
    <row r="11" spans="1:11" s="33" customFormat="1" ht="15.6" x14ac:dyDescent="0.3">
      <c r="A11" s="131" t="s">
        <v>6</v>
      </c>
      <c r="B11" s="132" t="s">
        <v>7</v>
      </c>
      <c r="C11" s="40"/>
      <c r="D11" s="41"/>
      <c r="E11" s="42">
        <f t="shared" si="0"/>
        <v>0</v>
      </c>
      <c r="F11" s="9">
        <v>4151.87</v>
      </c>
      <c r="G11" s="1">
        <v>3384.93</v>
      </c>
      <c r="H11" s="47">
        <f t="shared" si="1"/>
        <v>7536.7999999999993</v>
      </c>
      <c r="I11" s="43"/>
      <c r="J11" s="44"/>
      <c r="K11" s="45">
        <f t="shared" si="2"/>
        <v>0</v>
      </c>
    </row>
    <row r="12" spans="1:11" s="33" customFormat="1" ht="16.2" thickBot="1" x14ac:dyDescent="0.35">
      <c r="A12" s="133" t="s">
        <v>8</v>
      </c>
      <c r="B12" s="134" t="s">
        <v>9</v>
      </c>
      <c r="C12" s="10">
        <v>230000</v>
      </c>
      <c r="D12" s="48">
        <v>188000</v>
      </c>
      <c r="E12" s="49">
        <f t="shared" si="0"/>
        <v>418000</v>
      </c>
      <c r="F12" s="10">
        <f>96004.79+39455.84+20407.09+63460.55</f>
        <v>219328.27000000002</v>
      </c>
      <c r="G12" s="53">
        <f>79108.2+32215.13+15805.5+60021.36</f>
        <v>187150.19</v>
      </c>
      <c r="H12" s="54">
        <f t="shared" si="1"/>
        <v>406478.46</v>
      </c>
      <c r="I12" s="50">
        <v>255000</v>
      </c>
      <c r="J12" s="51">
        <f>31600+54200+135200</f>
        <v>221000</v>
      </c>
      <c r="K12" s="52">
        <f>I12+J12</f>
        <v>476000</v>
      </c>
    </row>
    <row r="13" spans="1:11" s="33" customFormat="1" ht="16.2" thickBot="1" x14ac:dyDescent="0.35">
      <c r="A13" s="55" t="s">
        <v>10</v>
      </c>
      <c r="B13" s="135" t="s">
        <v>11</v>
      </c>
      <c r="C13" s="56">
        <v>44000</v>
      </c>
      <c r="D13" s="57">
        <v>41000</v>
      </c>
      <c r="E13" s="58">
        <f t="shared" si="0"/>
        <v>85000</v>
      </c>
      <c r="F13" s="11">
        <f>11593.22-3.25+26000</f>
        <v>37589.97</v>
      </c>
      <c r="G13" s="12">
        <f>6240.24+15000</f>
        <v>21240.239999999998</v>
      </c>
      <c r="H13" s="59">
        <f t="shared" si="1"/>
        <v>58830.21</v>
      </c>
      <c r="I13" s="128"/>
      <c r="J13" s="60"/>
      <c r="K13" s="61">
        <f>I13+J13</f>
        <v>0</v>
      </c>
    </row>
    <row r="14" spans="1:11" s="68" customFormat="1" ht="12" x14ac:dyDescent="0.25">
      <c r="A14" s="136" t="s">
        <v>12</v>
      </c>
      <c r="B14" s="137" t="s">
        <v>13</v>
      </c>
      <c r="C14" s="62">
        <v>0</v>
      </c>
      <c r="D14" s="63">
        <v>260000</v>
      </c>
      <c r="E14" s="64">
        <f t="shared" si="0"/>
        <v>260000</v>
      </c>
      <c r="F14" s="65"/>
      <c r="G14" s="66">
        <f>199503.6+100000</f>
        <v>299503.59999999998</v>
      </c>
      <c r="H14" s="67">
        <f t="shared" si="1"/>
        <v>299503.59999999998</v>
      </c>
      <c r="I14" s="65"/>
      <c r="J14" s="66">
        <f>340200-90000</f>
        <v>250200</v>
      </c>
      <c r="K14" s="67">
        <f>I14+J14</f>
        <v>250200</v>
      </c>
    </row>
    <row r="15" spans="1:11" s="68" customFormat="1" ht="12" x14ac:dyDescent="0.25">
      <c r="A15" s="138" t="s">
        <v>14</v>
      </c>
      <c r="B15" s="139" t="s">
        <v>13</v>
      </c>
      <c r="C15" s="20">
        <v>10000</v>
      </c>
      <c r="D15" s="69">
        <v>30000</v>
      </c>
      <c r="E15" s="70">
        <f t="shared" si="0"/>
        <v>40000</v>
      </c>
      <c r="F15" s="71">
        <f>7182.86+3000</f>
        <v>10182.86</v>
      </c>
      <c r="G15" s="72">
        <f>6983.53+7000</f>
        <v>13983.529999999999</v>
      </c>
      <c r="H15" s="73">
        <f t="shared" si="1"/>
        <v>24166.39</v>
      </c>
      <c r="I15" s="71">
        <v>10000</v>
      </c>
      <c r="J15" s="72">
        <v>10000</v>
      </c>
      <c r="K15" s="73">
        <f t="shared" ref="K15:K24" si="3">I15+J15</f>
        <v>20000</v>
      </c>
    </row>
    <row r="16" spans="1:11" s="68" customFormat="1" ht="12" x14ac:dyDescent="0.25">
      <c r="A16" s="138" t="s">
        <v>15</v>
      </c>
      <c r="B16" s="139" t="s">
        <v>13</v>
      </c>
      <c r="C16" s="20">
        <v>9000</v>
      </c>
      <c r="D16" s="69">
        <v>9000</v>
      </c>
      <c r="E16" s="70">
        <f t="shared" si="0"/>
        <v>18000</v>
      </c>
      <c r="F16" s="71">
        <f>3822.12+1500</f>
        <v>5322.12</v>
      </c>
      <c r="G16" s="72">
        <f>5198.25+3500</f>
        <v>8698.25</v>
      </c>
      <c r="H16" s="73">
        <f t="shared" si="1"/>
        <v>14020.369999999999</v>
      </c>
      <c r="I16" s="71">
        <v>5000</v>
      </c>
      <c r="J16" s="72">
        <v>5000</v>
      </c>
      <c r="K16" s="73">
        <f t="shared" si="3"/>
        <v>10000</v>
      </c>
    </row>
    <row r="17" spans="1:11" s="68" customFormat="1" ht="12" x14ac:dyDescent="0.25">
      <c r="A17" s="138" t="s">
        <v>16</v>
      </c>
      <c r="B17" s="139" t="s">
        <v>13</v>
      </c>
      <c r="C17" s="20">
        <v>2000</v>
      </c>
      <c r="D17" s="69">
        <v>1000</v>
      </c>
      <c r="E17" s="70">
        <f t="shared" si="0"/>
        <v>3000</v>
      </c>
      <c r="F17" s="71">
        <f>2018.36+500</f>
        <v>2518.3599999999997</v>
      </c>
      <c r="G17" s="72">
        <f>970.91+900</f>
        <v>1870.9099999999999</v>
      </c>
      <c r="H17" s="73">
        <f t="shared" si="1"/>
        <v>4389.2699999999995</v>
      </c>
      <c r="I17" s="71">
        <v>900</v>
      </c>
      <c r="J17" s="72">
        <v>2100</v>
      </c>
      <c r="K17" s="73">
        <f t="shared" si="3"/>
        <v>3000</v>
      </c>
    </row>
    <row r="18" spans="1:11" s="68" customFormat="1" ht="12" x14ac:dyDescent="0.25">
      <c r="A18" s="138" t="s">
        <v>17</v>
      </c>
      <c r="B18" s="139" t="s">
        <v>13</v>
      </c>
      <c r="C18" s="20">
        <v>0</v>
      </c>
      <c r="D18" s="69">
        <v>4500</v>
      </c>
      <c r="E18" s="70">
        <f t="shared" si="0"/>
        <v>4500</v>
      </c>
      <c r="F18" s="71"/>
      <c r="G18" s="72">
        <f>25.6+2026.78</f>
        <v>2052.38</v>
      </c>
      <c r="H18" s="73">
        <f t="shared" si="1"/>
        <v>2052.38</v>
      </c>
      <c r="I18" s="71"/>
      <c r="J18" s="72">
        <v>3500</v>
      </c>
      <c r="K18" s="73">
        <f t="shared" si="3"/>
        <v>3500</v>
      </c>
    </row>
    <row r="19" spans="1:11" s="68" customFormat="1" ht="12" x14ac:dyDescent="0.25">
      <c r="A19" s="138" t="s">
        <v>18</v>
      </c>
      <c r="B19" s="139" t="s">
        <v>13</v>
      </c>
      <c r="C19" s="20">
        <v>10000</v>
      </c>
      <c r="D19" s="69">
        <v>5000</v>
      </c>
      <c r="E19" s="70">
        <f t="shared" si="0"/>
        <v>15000</v>
      </c>
      <c r="F19" s="71">
        <f>9426.22+6577.75</f>
        <v>16003.97</v>
      </c>
      <c r="G19" s="72">
        <f>4352.37+1521.6+342.67</f>
        <v>6216.6399999999994</v>
      </c>
      <c r="H19" s="73">
        <f t="shared" si="1"/>
        <v>22220.61</v>
      </c>
      <c r="I19" s="71">
        <v>15000</v>
      </c>
      <c r="J19" s="72">
        <v>10000</v>
      </c>
      <c r="K19" s="73">
        <f t="shared" si="3"/>
        <v>25000</v>
      </c>
    </row>
    <row r="20" spans="1:11" s="68" customFormat="1" ht="12" x14ac:dyDescent="0.25">
      <c r="A20" s="138" t="s">
        <v>19</v>
      </c>
      <c r="B20" s="139" t="s">
        <v>13</v>
      </c>
      <c r="C20" s="20">
        <v>6000</v>
      </c>
      <c r="D20" s="69">
        <v>4000</v>
      </c>
      <c r="E20" s="70">
        <f t="shared" si="0"/>
        <v>10000</v>
      </c>
      <c r="F20" s="71">
        <f>3125.56+830.4+5586.88</f>
        <v>9542.84</v>
      </c>
      <c r="G20" s="72">
        <f>617.7+9.64+2184.69</f>
        <v>2812.03</v>
      </c>
      <c r="H20" s="73">
        <f t="shared" si="1"/>
        <v>12354.87</v>
      </c>
      <c r="I20" s="71">
        <v>4000</v>
      </c>
      <c r="J20" s="72">
        <v>2000</v>
      </c>
      <c r="K20" s="73">
        <f t="shared" si="3"/>
        <v>6000</v>
      </c>
    </row>
    <row r="21" spans="1:11" s="68" customFormat="1" ht="12" x14ac:dyDescent="0.25">
      <c r="A21" s="138" t="s">
        <v>20</v>
      </c>
      <c r="B21" s="139" t="s">
        <v>13</v>
      </c>
      <c r="C21" s="20">
        <v>0</v>
      </c>
      <c r="D21" s="69">
        <v>18000</v>
      </c>
      <c r="E21" s="70">
        <f t="shared" si="0"/>
        <v>18000</v>
      </c>
      <c r="F21" s="71"/>
      <c r="G21" s="72">
        <v>10000</v>
      </c>
      <c r="H21" s="73">
        <f t="shared" si="1"/>
        <v>10000</v>
      </c>
      <c r="I21" s="71"/>
      <c r="J21" s="72">
        <v>5000</v>
      </c>
      <c r="K21" s="73">
        <f t="shared" si="3"/>
        <v>5000</v>
      </c>
    </row>
    <row r="22" spans="1:11" s="68" customFormat="1" ht="12" x14ac:dyDescent="0.25">
      <c r="A22" s="138" t="s">
        <v>21</v>
      </c>
      <c r="B22" s="139" t="s">
        <v>13</v>
      </c>
      <c r="C22" s="20">
        <v>2000</v>
      </c>
      <c r="D22" s="69">
        <v>1000</v>
      </c>
      <c r="E22" s="70">
        <f t="shared" si="0"/>
        <v>3000</v>
      </c>
      <c r="F22" s="71">
        <v>666.22</v>
      </c>
      <c r="G22" s="72">
        <v>508.34</v>
      </c>
      <c r="H22" s="73">
        <f t="shared" si="1"/>
        <v>1174.56</v>
      </c>
      <c r="I22" s="71">
        <v>1300</v>
      </c>
      <c r="J22" s="72">
        <v>1200</v>
      </c>
      <c r="K22" s="73">
        <f t="shared" si="3"/>
        <v>2500</v>
      </c>
    </row>
    <row r="23" spans="1:11" s="68" customFormat="1" ht="12" x14ac:dyDescent="0.25">
      <c r="A23" s="140" t="s">
        <v>22</v>
      </c>
      <c r="B23" s="139" t="s">
        <v>13</v>
      </c>
      <c r="C23" s="20">
        <v>113640</v>
      </c>
      <c r="D23" s="69">
        <v>0</v>
      </c>
      <c r="E23" s="70">
        <f t="shared" si="0"/>
        <v>113640</v>
      </c>
      <c r="F23" s="71">
        <v>75696</v>
      </c>
      <c r="G23" s="72"/>
      <c r="H23" s="73">
        <f t="shared" si="1"/>
        <v>75696</v>
      </c>
      <c r="I23" s="71">
        <v>135000</v>
      </c>
      <c r="J23" s="72"/>
      <c r="K23" s="73">
        <f t="shared" si="3"/>
        <v>135000</v>
      </c>
    </row>
    <row r="24" spans="1:11" s="68" customFormat="1" ht="12" x14ac:dyDescent="0.25">
      <c r="A24" s="138" t="s">
        <v>23</v>
      </c>
      <c r="B24" s="139" t="s">
        <v>13</v>
      </c>
      <c r="C24" s="20">
        <v>6000</v>
      </c>
      <c r="D24" s="69">
        <v>4000</v>
      </c>
      <c r="E24" s="70">
        <f t="shared" si="0"/>
        <v>10000</v>
      </c>
      <c r="F24" s="20">
        <f>204.71+87.58</f>
        <v>292.29000000000002</v>
      </c>
      <c r="G24" s="72">
        <f>196.69+70.07+96.98</f>
        <v>363.74</v>
      </c>
      <c r="H24" s="73">
        <f t="shared" si="1"/>
        <v>656.03</v>
      </c>
      <c r="I24" s="71">
        <v>1000</v>
      </c>
      <c r="J24" s="72">
        <v>1000</v>
      </c>
      <c r="K24" s="73">
        <f t="shared" si="3"/>
        <v>2000</v>
      </c>
    </row>
    <row r="25" spans="1:11" s="33" customFormat="1" ht="15.6" x14ac:dyDescent="0.3">
      <c r="A25" s="141" t="s">
        <v>24</v>
      </c>
      <c r="B25" s="142"/>
      <c r="C25" s="74">
        <f>SUM(C14:C24)</f>
        <v>158640</v>
      </c>
      <c r="D25" s="75">
        <f>SUM(D14:D24)</f>
        <v>336500</v>
      </c>
      <c r="E25" s="76">
        <f t="shared" si="0"/>
        <v>495140</v>
      </c>
      <c r="F25" s="13">
        <f>SUM(F14:F24)</f>
        <v>120224.65999999999</v>
      </c>
      <c r="G25" s="14">
        <f>SUM(G14:G24)</f>
        <v>346009.42000000004</v>
      </c>
      <c r="H25" s="77">
        <f t="shared" si="1"/>
        <v>466234.08</v>
      </c>
      <c r="I25" s="13">
        <f>SUM(I14:I24)</f>
        <v>172200</v>
      </c>
      <c r="J25" s="14">
        <f>SUM(J14:J24)</f>
        <v>290000</v>
      </c>
      <c r="K25" s="77">
        <f>SUM(K14:K24)</f>
        <v>462200</v>
      </c>
    </row>
    <row r="26" spans="1:11" s="82" customFormat="1" x14ac:dyDescent="0.3">
      <c r="A26" s="143" t="s">
        <v>25</v>
      </c>
      <c r="B26" s="144" t="s">
        <v>26</v>
      </c>
      <c r="C26" s="78">
        <v>2000</v>
      </c>
      <c r="D26" s="79">
        <v>1000</v>
      </c>
      <c r="E26" s="80">
        <f t="shared" si="0"/>
        <v>3000</v>
      </c>
      <c r="F26" s="18">
        <f>2028.69+190</f>
        <v>2218.69</v>
      </c>
      <c r="G26" s="19">
        <f>550.71+113</f>
        <v>663.71</v>
      </c>
      <c r="H26" s="81">
        <f t="shared" si="1"/>
        <v>2882.4</v>
      </c>
      <c r="I26" s="18">
        <v>2200</v>
      </c>
      <c r="J26" s="19">
        <v>1300</v>
      </c>
      <c r="K26" s="81">
        <f>I26+J26</f>
        <v>3500</v>
      </c>
    </row>
    <row r="27" spans="1:11" s="82" customFormat="1" x14ac:dyDescent="0.3">
      <c r="A27" s="145" t="s">
        <v>27</v>
      </c>
      <c r="B27" s="146" t="s">
        <v>26</v>
      </c>
      <c r="C27" s="83">
        <v>40000</v>
      </c>
      <c r="D27" s="84">
        <v>30000</v>
      </c>
      <c r="E27" s="85">
        <f t="shared" si="0"/>
        <v>70000</v>
      </c>
      <c r="F27" s="16">
        <f>13870.19+2830</f>
        <v>16700.190000000002</v>
      </c>
      <c r="G27" s="17">
        <f>11096.1+2230</f>
        <v>13326.1</v>
      </c>
      <c r="H27" s="86">
        <f t="shared" si="1"/>
        <v>30026.29</v>
      </c>
      <c r="I27" s="16">
        <v>10500</v>
      </c>
      <c r="J27" s="17">
        <v>10000</v>
      </c>
      <c r="K27" s="86">
        <f>I27+J27</f>
        <v>20500</v>
      </c>
    </row>
    <row r="28" spans="1:11" s="82" customFormat="1" x14ac:dyDescent="0.3">
      <c r="A28" s="145" t="s">
        <v>28</v>
      </c>
      <c r="B28" s="146" t="s">
        <v>26</v>
      </c>
      <c r="C28" s="83">
        <v>221000</v>
      </c>
      <c r="D28" s="84">
        <v>211065</v>
      </c>
      <c r="E28" s="85">
        <f t="shared" si="0"/>
        <v>432065</v>
      </c>
      <c r="F28" s="16">
        <f>128949.99+46000</f>
        <v>174949.99</v>
      </c>
      <c r="G28" s="17">
        <f>123893.12+64000</f>
        <v>187893.12</v>
      </c>
      <c r="H28" s="86">
        <f t="shared" si="1"/>
        <v>362843.11</v>
      </c>
      <c r="I28" s="16">
        <v>178500</v>
      </c>
      <c r="J28" s="17">
        <v>171500</v>
      </c>
      <c r="K28" s="86">
        <f>I28+J28</f>
        <v>350000</v>
      </c>
    </row>
    <row r="29" spans="1:11" s="82" customFormat="1" x14ac:dyDescent="0.3">
      <c r="A29" s="147" t="s">
        <v>29</v>
      </c>
      <c r="B29" s="148" t="s">
        <v>26</v>
      </c>
      <c r="C29" s="87"/>
      <c r="D29" s="88"/>
      <c r="E29" s="89"/>
      <c r="F29" s="90"/>
      <c r="G29" s="91"/>
      <c r="H29" s="92"/>
      <c r="I29" s="90">
        <v>23200</v>
      </c>
      <c r="J29" s="91">
        <v>4800</v>
      </c>
      <c r="K29" s="92">
        <f>I29+J29</f>
        <v>28000</v>
      </c>
    </row>
    <row r="30" spans="1:11" s="33" customFormat="1" ht="15.6" x14ac:dyDescent="0.3">
      <c r="A30" s="149" t="s">
        <v>30</v>
      </c>
      <c r="B30" s="142"/>
      <c r="C30" s="74">
        <f t="shared" ref="C30:D30" si="4">SUM(C26:C28)</f>
        <v>263000</v>
      </c>
      <c r="D30" s="75">
        <f t="shared" si="4"/>
        <v>242065</v>
      </c>
      <c r="E30" s="76">
        <f t="shared" si="0"/>
        <v>505065</v>
      </c>
      <c r="F30" s="13">
        <f>SUM(F26:F28)</f>
        <v>193868.87</v>
      </c>
      <c r="G30" s="14">
        <f>SUM(G26:G28)</f>
        <v>201882.93</v>
      </c>
      <c r="H30" s="77">
        <f t="shared" ref="H30:H48" si="5">F30+G30</f>
        <v>395751.8</v>
      </c>
      <c r="I30" s="13">
        <f>SUM(I26:I29)</f>
        <v>214400</v>
      </c>
      <c r="J30" s="14">
        <f>SUM(J26:J29)</f>
        <v>187600</v>
      </c>
      <c r="K30" s="77">
        <f>SUM(K26:K29)</f>
        <v>402000</v>
      </c>
    </row>
    <row r="31" spans="1:11" s="82" customFormat="1" x14ac:dyDescent="0.3">
      <c r="A31" s="143" t="s">
        <v>31</v>
      </c>
      <c r="B31" s="144" t="s">
        <v>32</v>
      </c>
      <c r="C31" s="78">
        <v>51000</v>
      </c>
      <c r="D31" s="79">
        <v>49000</v>
      </c>
      <c r="E31" s="80">
        <v>100000</v>
      </c>
      <c r="F31" s="18">
        <f>61669.86+14000</f>
        <v>75669.86</v>
      </c>
      <c r="G31" s="19">
        <f>11183.85+11.09+20000</f>
        <v>31194.940000000002</v>
      </c>
      <c r="H31" s="81">
        <f t="shared" si="5"/>
        <v>106864.8</v>
      </c>
      <c r="I31" s="18">
        <v>73500</v>
      </c>
      <c r="J31" s="19">
        <v>71500</v>
      </c>
      <c r="K31" s="81">
        <f>I31+J31</f>
        <v>145000</v>
      </c>
    </row>
    <row r="32" spans="1:11" s="82" customFormat="1" x14ac:dyDescent="0.3">
      <c r="A32" s="145" t="s">
        <v>33</v>
      </c>
      <c r="B32" s="146" t="s">
        <v>32</v>
      </c>
      <c r="C32" s="83"/>
      <c r="D32" s="84"/>
      <c r="E32" s="85">
        <v>0</v>
      </c>
      <c r="F32" s="16">
        <v>10</v>
      </c>
      <c r="G32" s="17">
        <v>192</v>
      </c>
      <c r="H32" s="86">
        <f t="shared" si="5"/>
        <v>202</v>
      </c>
      <c r="I32" s="16">
        <v>1000</v>
      </c>
      <c r="J32" s="17">
        <v>1000</v>
      </c>
      <c r="K32" s="86">
        <f>I32+J32</f>
        <v>2000</v>
      </c>
    </row>
    <row r="33" spans="1:11" s="82" customFormat="1" x14ac:dyDescent="0.3">
      <c r="A33" s="145" t="s">
        <v>34</v>
      </c>
      <c r="B33" s="146" t="s">
        <v>32</v>
      </c>
      <c r="C33" s="83">
        <v>10000</v>
      </c>
      <c r="D33" s="84">
        <v>10000</v>
      </c>
      <c r="E33" s="85">
        <v>20000</v>
      </c>
      <c r="F33" s="16">
        <f>4890.12</f>
        <v>4890.12</v>
      </c>
      <c r="G33" s="17">
        <f>3128.4</f>
        <v>3128.4</v>
      </c>
      <c r="H33" s="86">
        <f t="shared" si="5"/>
        <v>8018.52</v>
      </c>
      <c r="I33" s="16">
        <v>6000</v>
      </c>
      <c r="J33" s="17">
        <v>4000</v>
      </c>
      <c r="K33" s="86">
        <f t="shared" ref="K33:K39" si="6">I33+J33</f>
        <v>10000</v>
      </c>
    </row>
    <row r="34" spans="1:11" s="82" customFormat="1" x14ac:dyDescent="0.3">
      <c r="A34" s="145" t="s">
        <v>35</v>
      </c>
      <c r="B34" s="146" t="s">
        <v>32</v>
      </c>
      <c r="C34" s="83">
        <v>23000</v>
      </c>
      <c r="D34" s="84">
        <v>22000</v>
      </c>
      <c r="E34" s="85">
        <v>45000</v>
      </c>
      <c r="F34" s="16">
        <f>17271.62+3530</f>
        <v>20801.62</v>
      </c>
      <c r="G34" s="17">
        <f>16594.3+3391.58</f>
        <v>19985.879999999997</v>
      </c>
      <c r="H34" s="86">
        <f t="shared" si="5"/>
        <v>40787.5</v>
      </c>
      <c r="I34" s="16">
        <v>35700</v>
      </c>
      <c r="J34" s="17">
        <v>34300</v>
      </c>
      <c r="K34" s="86">
        <f t="shared" si="6"/>
        <v>70000</v>
      </c>
    </row>
    <row r="35" spans="1:11" s="82" customFormat="1" x14ac:dyDescent="0.3">
      <c r="A35" s="145" t="s">
        <v>36</v>
      </c>
      <c r="B35" s="146" t="s">
        <v>32</v>
      </c>
      <c r="C35" s="83">
        <v>1500</v>
      </c>
      <c r="D35" s="84">
        <v>1500</v>
      </c>
      <c r="E35" s="85">
        <v>3000</v>
      </c>
      <c r="F35" s="16">
        <f>1483.63+311</f>
        <v>1794.63</v>
      </c>
      <c r="G35" s="17">
        <f>916.66+195</f>
        <v>1111.6599999999999</v>
      </c>
      <c r="H35" s="86">
        <f t="shared" si="5"/>
        <v>2906.29</v>
      </c>
      <c r="I35" s="16">
        <v>1800</v>
      </c>
      <c r="J35" s="17">
        <v>1200</v>
      </c>
      <c r="K35" s="86">
        <f t="shared" si="6"/>
        <v>3000</v>
      </c>
    </row>
    <row r="36" spans="1:11" s="82" customFormat="1" ht="39.6" x14ac:dyDescent="0.3">
      <c r="A36" s="150" t="s">
        <v>37</v>
      </c>
      <c r="B36" s="146" t="s">
        <v>32</v>
      </c>
      <c r="C36" s="83">
        <v>15000</v>
      </c>
      <c r="D36" s="84">
        <v>12000</v>
      </c>
      <c r="E36" s="85">
        <v>27000</v>
      </c>
      <c r="F36" s="16">
        <f>6090.01+3500.92+51.84+2776.82</f>
        <v>12419.59</v>
      </c>
      <c r="G36" s="17">
        <f>5525.77+11458.14-7026+2759.32</f>
        <v>12717.23</v>
      </c>
      <c r="H36" s="86">
        <f t="shared" si="5"/>
        <v>25136.82</v>
      </c>
      <c r="I36" s="16">
        <v>19200</v>
      </c>
      <c r="J36" s="17">
        <v>19600</v>
      </c>
      <c r="K36" s="86">
        <f t="shared" si="6"/>
        <v>38800</v>
      </c>
    </row>
    <row r="37" spans="1:11" s="82" customFormat="1" x14ac:dyDescent="0.3">
      <c r="A37" s="145" t="s">
        <v>38</v>
      </c>
      <c r="B37" s="146" t="s">
        <v>32</v>
      </c>
      <c r="C37" s="83">
        <v>13000</v>
      </c>
      <c r="D37" s="84">
        <v>12000</v>
      </c>
      <c r="E37" s="85">
        <v>25000</v>
      </c>
      <c r="F37" s="16">
        <f>3201.2+1640</f>
        <v>4841.2</v>
      </c>
      <c r="G37" s="17">
        <f>14511.47+7026+420+264</f>
        <v>22221.47</v>
      </c>
      <c r="H37" s="86">
        <f t="shared" si="5"/>
        <v>27062.670000000002</v>
      </c>
      <c r="I37" s="16">
        <v>6000</v>
      </c>
      <c r="J37" s="17">
        <v>19000</v>
      </c>
      <c r="K37" s="86">
        <f t="shared" si="6"/>
        <v>25000</v>
      </c>
    </row>
    <row r="38" spans="1:11" s="82" customFormat="1" x14ac:dyDescent="0.3">
      <c r="A38" s="145" t="s">
        <v>39</v>
      </c>
      <c r="B38" s="146" t="s">
        <v>32</v>
      </c>
      <c r="C38" s="83">
        <v>2000</v>
      </c>
      <c r="D38" s="84">
        <v>2000</v>
      </c>
      <c r="E38" s="85">
        <v>4000</v>
      </c>
      <c r="F38" s="16">
        <f>1364+1000</f>
        <v>2364</v>
      </c>
      <c r="G38" s="17">
        <f>449.5+15+600</f>
        <v>1064.5</v>
      </c>
      <c r="H38" s="86">
        <f t="shared" si="5"/>
        <v>3428.5</v>
      </c>
      <c r="I38" s="16">
        <v>1200</v>
      </c>
      <c r="J38" s="17">
        <v>800</v>
      </c>
      <c r="K38" s="86">
        <f t="shared" si="6"/>
        <v>2000</v>
      </c>
    </row>
    <row r="39" spans="1:11" s="82" customFormat="1" x14ac:dyDescent="0.3">
      <c r="A39" s="145" t="s">
        <v>40</v>
      </c>
      <c r="B39" s="146" t="s">
        <v>32</v>
      </c>
      <c r="C39" s="83">
        <v>3100</v>
      </c>
      <c r="D39" s="84">
        <v>2900</v>
      </c>
      <c r="E39" s="85">
        <v>6000</v>
      </c>
      <c r="F39" s="16">
        <f>762.52+6.31</f>
        <v>768.82999999999993</v>
      </c>
      <c r="G39" s="17">
        <f>4.01+240+16+970.99+360</f>
        <v>1591</v>
      </c>
      <c r="H39" s="86">
        <f t="shared" si="5"/>
        <v>2359.83</v>
      </c>
      <c r="I39" s="16">
        <v>1000</v>
      </c>
      <c r="J39" s="17">
        <v>2000</v>
      </c>
      <c r="K39" s="86">
        <f t="shared" si="6"/>
        <v>3000</v>
      </c>
    </row>
    <row r="40" spans="1:11" s="33" customFormat="1" ht="15.6" x14ac:dyDescent="0.3">
      <c r="A40" s="149" t="s">
        <v>41</v>
      </c>
      <c r="B40" s="142"/>
      <c r="C40" s="74">
        <f t="shared" ref="C40:D40" si="7">SUM(C31:C39)</f>
        <v>118600</v>
      </c>
      <c r="D40" s="75">
        <f t="shared" si="7"/>
        <v>111400</v>
      </c>
      <c r="E40" s="76">
        <f t="shared" si="0"/>
        <v>230000</v>
      </c>
      <c r="F40" s="13">
        <f>SUM(F31:F39)</f>
        <v>123559.84999999999</v>
      </c>
      <c r="G40" s="14">
        <f>SUM(G31:G39)</f>
        <v>93207.08</v>
      </c>
      <c r="H40" s="77">
        <f t="shared" si="5"/>
        <v>216766.93</v>
      </c>
      <c r="I40" s="13">
        <f>SUM(I31:I39)</f>
        <v>145400</v>
      </c>
      <c r="J40" s="14">
        <f>SUM(J31:J39)</f>
        <v>153400</v>
      </c>
      <c r="K40" s="77">
        <f>SUM(K31:K39)</f>
        <v>298800</v>
      </c>
    </row>
    <row r="41" spans="1:11" s="33" customFormat="1" ht="15.6" x14ac:dyDescent="0.3">
      <c r="A41" s="151" t="s">
        <v>42</v>
      </c>
      <c r="B41" s="152" t="s">
        <v>43</v>
      </c>
      <c r="C41" s="93"/>
      <c r="D41" s="94"/>
      <c r="E41" s="95">
        <f>C41+D41</f>
        <v>0</v>
      </c>
      <c r="F41" s="96">
        <f>21587.65+60792.81</f>
        <v>82380.459999999992</v>
      </c>
      <c r="G41" s="97">
        <f>4151.47+11690.93</f>
        <v>15842.400000000001</v>
      </c>
      <c r="H41" s="98">
        <f>F41+G41</f>
        <v>98222.859999999986</v>
      </c>
      <c r="I41" s="96">
        <v>17000</v>
      </c>
      <c r="J41" s="97">
        <v>11000</v>
      </c>
      <c r="K41" s="98">
        <f>I41+J41</f>
        <v>28000</v>
      </c>
    </row>
    <row r="42" spans="1:11" s="33" customFormat="1" ht="15.6" x14ac:dyDescent="0.3">
      <c r="A42" s="153" t="s">
        <v>44</v>
      </c>
      <c r="B42" s="154" t="s">
        <v>45</v>
      </c>
      <c r="C42" s="99">
        <v>1000</v>
      </c>
      <c r="D42" s="100">
        <v>1600</v>
      </c>
      <c r="E42" s="101">
        <f>C42+D42</f>
        <v>2600</v>
      </c>
      <c r="F42" s="102">
        <f>144.4+108.78</f>
        <v>253.18</v>
      </c>
      <c r="G42" s="103">
        <f>61.3+104.52</f>
        <v>165.82</v>
      </c>
      <c r="H42" s="104">
        <f t="shared" si="5"/>
        <v>419</v>
      </c>
      <c r="I42" s="102">
        <v>1000</v>
      </c>
      <c r="J42" s="103">
        <v>1000</v>
      </c>
      <c r="K42" s="104">
        <f>I42+J42</f>
        <v>2000</v>
      </c>
    </row>
    <row r="43" spans="1:11" s="33" customFormat="1" ht="15.6" x14ac:dyDescent="0.3">
      <c r="A43" s="151" t="s">
        <v>46</v>
      </c>
      <c r="B43" s="152" t="s">
        <v>47</v>
      </c>
      <c r="C43" s="93"/>
      <c r="D43" s="94"/>
      <c r="E43" s="95">
        <f>C43+D43</f>
        <v>0</v>
      </c>
      <c r="F43" s="105">
        <f>1224+256.83</f>
        <v>1480.83</v>
      </c>
      <c r="G43" s="15">
        <f>1176+246.75</f>
        <v>1422.75</v>
      </c>
      <c r="H43" s="106">
        <f>F43+G43</f>
        <v>2903.58</v>
      </c>
      <c r="I43" s="105"/>
      <c r="J43" s="15"/>
      <c r="K43" s="106">
        <f>I43+J43</f>
        <v>0</v>
      </c>
    </row>
    <row r="44" spans="1:11" s="33" customFormat="1" ht="15.6" x14ac:dyDescent="0.3">
      <c r="A44" s="151" t="s">
        <v>48</v>
      </c>
      <c r="B44" s="152" t="s">
        <v>49</v>
      </c>
      <c r="C44" s="93">
        <v>21000</v>
      </c>
      <c r="D44" s="94">
        <v>19000</v>
      </c>
      <c r="E44" s="95">
        <f t="shared" si="0"/>
        <v>40000</v>
      </c>
      <c r="F44" s="105">
        <f>16614.44+4748.5</f>
        <v>21362.94</v>
      </c>
      <c r="G44" s="15">
        <f>19528.61+2899.5</f>
        <v>22428.11</v>
      </c>
      <c r="H44" s="106">
        <f t="shared" si="5"/>
        <v>43791.05</v>
      </c>
      <c r="I44" s="105">
        <v>21000</v>
      </c>
      <c r="J44" s="15">
        <v>19000</v>
      </c>
      <c r="K44" s="106">
        <f t="shared" ref="K44:K48" si="8">I44+J44</f>
        <v>40000</v>
      </c>
    </row>
    <row r="45" spans="1:11" s="33" customFormat="1" ht="15.6" x14ac:dyDescent="0.3">
      <c r="A45" s="151" t="s">
        <v>50</v>
      </c>
      <c r="B45" s="152" t="s">
        <v>51</v>
      </c>
      <c r="C45" s="93">
        <v>25000</v>
      </c>
      <c r="D45" s="94">
        <v>21000</v>
      </c>
      <c r="E45" s="95">
        <f t="shared" si="0"/>
        <v>46000</v>
      </c>
      <c r="F45" s="105"/>
      <c r="G45" s="15"/>
      <c r="H45" s="106"/>
      <c r="I45" s="105">
        <v>27000</v>
      </c>
      <c r="J45" s="15">
        <v>26000</v>
      </c>
      <c r="K45" s="106">
        <f t="shared" si="8"/>
        <v>53000</v>
      </c>
    </row>
    <row r="46" spans="1:11" s="33" customFormat="1" ht="15.6" x14ac:dyDescent="0.3">
      <c r="A46" s="151" t="s">
        <v>52</v>
      </c>
      <c r="B46" s="152" t="s">
        <v>53</v>
      </c>
      <c r="C46" s="93">
        <v>500</v>
      </c>
      <c r="D46" s="94">
        <v>500</v>
      </c>
      <c r="E46" s="95">
        <f t="shared" si="0"/>
        <v>1000</v>
      </c>
      <c r="F46" s="105">
        <f>243.25+235.84</f>
        <v>479.09000000000003</v>
      </c>
      <c r="G46" s="15">
        <f>233.71</f>
        <v>233.71</v>
      </c>
      <c r="H46" s="106">
        <f>F46+G46</f>
        <v>712.80000000000007</v>
      </c>
      <c r="I46" s="105">
        <v>500</v>
      </c>
      <c r="J46" s="15">
        <v>500</v>
      </c>
      <c r="K46" s="106">
        <f t="shared" si="8"/>
        <v>1000</v>
      </c>
    </row>
    <row r="47" spans="1:11" s="33" customFormat="1" ht="15.6" x14ac:dyDescent="0.3">
      <c r="A47" s="151" t="s">
        <v>54</v>
      </c>
      <c r="B47" s="152" t="s">
        <v>55</v>
      </c>
      <c r="C47" s="93">
        <v>8000</v>
      </c>
      <c r="D47" s="94">
        <v>8000</v>
      </c>
      <c r="E47" s="95">
        <f t="shared" si="0"/>
        <v>16000</v>
      </c>
      <c r="F47" s="105">
        <f>3384.92+3977.59</f>
        <v>7362.51</v>
      </c>
      <c r="G47" s="15">
        <f>3821.61+485.6+3344.76</f>
        <v>7651.97</v>
      </c>
      <c r="H47" s="106">
        <f t="shared" si="5"/>
        <v>15014.48</v>
      </c>
      <c r="I47" s="105">
        <v>7500</v>
      </c>
      <c r="J47" s="15">
        <v>8000</v>
      </c>
      <c r="K47" s="106">
        <f t="shared" si="8"/>
        <v>15500</v>
      </c>
    </row>
    <row r="48" spans="1:11" s="33" customFormat="1" ht="16.2" thickBot="1" x14ac:dyDescent="0.35">
      <c r="A48" s="155" t="s">
        <v>66</v>
      </c>
      <c r="B48" s="156"/>
      <c r="C48" s="107"/>
      <c r="D48" s="108"/>
      <c r="E48" s="109">
        <f t="shared" si="0"/>
        <v>0</v>
      </c>
      <c r="F48" s="110">
        <f>10995.6+230400</f>
        <v>241395.6</v>
      </c>
      <c r="G48" s="111">
        <f>241099+351332.4</f>
        <v>592431.4</v>
      </c>
      <c r="H48" s="112">
        <f t="shared" si="5"/>
        <v>833827</v>
      </c>
      <c r="I48" s="110">
        <f>800000+120000+20000</f>
        <v>940000</v>
      </c>
      <c r="J48" s="111">
        <v>295100</v>
      </c>
      <c r="K48" s="112">
        <f t="shared" si="8"/>
        <v>1235100</v>
      </c>
    </row>
    <row r="49" spans="1:11" ht="16.2" thickBot="1" x14ac:dyDescent="0.35">
      <c r="A49" s="113" t="s">
        <v>56</v>
      </c>
      <c r="B49" s="157"/>
      <c r="C49" s="114">
        <f t="shared" ref="C49:D49" si="9">SUM(C40:C48)+C30+C25+SUM(C8:C13)</f>
        <v>2079240</v>
      </c>
      <c r="D49" s="115">
        <f t="shared" si="9"/>
        <v>1937565</v>
      </c>
      <c r="E49" s="58">
        <f t="shared" ref="E49:K49" si="10">SUM(E40:E48)+E30+E25+SUM(E8:E13)</f>
        <v>4016805</v>
      </c>
      <c r="F49" s="116">
        <f t="shared" si="10"/>
        <v>2199372.38</v>
      </c>
      <c r="G49" s="117">
        <f t="shared" si="10"/>
        <v>2435802.19</v>
      </c>
      <c r="H49" s="59">
        <f t="shared" si="10"/>
        <v>4635174.57</v>
      </c>
      <c r="I49" s="116">
        <f t="shared" si="10"/>
        <v>3139000</v>
      </c>
      <c r="J49" s="117">
        <f t="shared" si="10"/>
        <v>2352600</v>
      </c>
      <c r="K49" s="59">
        <f t="shared" si="10"/>
        <v>5491600</v>
      </c>
    </row>
    <row r="50" spans="1:11" ht="16.2" thickBot="1" x14ac:dyDescent="0.35">
      <c r="A50" s="118" t="s">
        <v>69</v>
      </c>
      <c r="B50" s="135"/>
      <c r="C50" s="56">
        <f>C49-C48</f>
        <v>2079240</v>
      </c>
      <c r="D50" s="57">
        <f t="shared" ref="D50:K50" si="11">D49-D48</f>
        <v>1937565</v>
      </c>
      <c r="E50" s="119">
        <f t="shared" si="11"/>
        <v>4016805</v>
      </c>
      <c r="F50" s="11">
        <f t="shared" si="11"/>
        <v>1957976.7799999998</v>
      </c>
      <c r="G50" s="12">
        <f t="shared" si="11"/>
        <v>1843370.79</v>
      </c>
      <c r="H50" s="120">
        <f t="shared" si="11"/>
        <v>3801347.5700000003</v>
      </c>
      <c r="I50" s="11">
        <f t="shared" si="11"/>
        <v>2199000</v>
      </c>
      <c r="J50" s="12">
        <f t="shared" si="11"/>
        <v>2057500</v>
      </c>
      <c r="K50" s="120">
        <f t="shared" si="11"/>
        <v>4256500</v>
      </c>
    </row>
    <row r="51" spans="1:11" x14ac:dyDescent="0.25">
      <c r="F51" s="2"/>
      <c r="G51" s="2"/>
      <c r="H51" s="3"/>
      <c r="I51" s="3"/>
    </row>
    <row r="52" spans="1:11" ht="15.6" x14ac:dyDescent="0.3">
      <c r="F52" s="121"/>
      <c r="G52" s="121"/>
      <c r="H52" s="122"/>
      <c r="I52" s="123"/>
    </row>
    <row r="53" spans="1:11" x14ac:dyDescent="0.25">
      <c r="F53" s="121"/>
      <c r="G53" s="121"/>
      <c r="H53" s="124"/>
      <c r="I53" s="125"/>
    </row>
    <row r="54" spans="1:11" x14ac:dyDescent="0.25">
      <c r="A54" s="126"/>
    </row>
    <row r="62" spans="1:11" x14ac:dyDescent="0.25">
      <c r="A62" s="127"/>
    </row>
    <row r="63" spans="1:11" x14ac:dyDescent="0.25">
      <c r="A63" s="127"/>
    </row>
    <row r="64" spans="1:11" x14ac:dyDescent="0.25">
      <c r="A64" s="127"/>
    </row>
    <row r="65" spans="1:1" x14ac:dyDescent="0.25">
      <c r="A65" s="127"/>
    </row>
    <row r="66" spans="1:1" x14ac:dyDescent="0.25">
      <c r="A66" s="127"/>
    </row>
    <row r="67" spans="1:1" x14ac:dyDescent="0.25">
      <c r="A67" s="127"/>
    </row>
    <row r="68" spans="1:1" x14ac:dyDescent="0.25">
      <c r="A68" s="127"/>
    </row>
  </sheetData>
  <mergeCells count="6">
    <mergeCell ref="A4:K4"/>
    <mergeCell ref="A6:A7"/>
    <mergeCell ref="B6:B7"/>
    <mergeCell ref="C6:E6"/>
    <mergeCell ref="I6:K6"/>
    <mergeCell ref="F6:H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2024-11-02T11:48:43Z</dcterms:modified>
</cp:coreProperties>
</file>